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KRANKUSOVÁ\3. IT APP\"/>
    </mc:Choice>
  </mc:AlternateContent>
  <xr:revisionPtr revIDLastSave="0" documentId="13_ncr:1_{1ACB8C9C-6014-4340-BBE8-7632741710C9}" xr6:coauthVersionLast="47" xr6:coauthVersionMax="47" xr10:uidLastSave="{00000000-0000-0000-0000-000000000000}"/>
  <bookViews>
    <workbookView xWindow="-120" yWindow="-120" windowWidth="29040" windowHeight="15720" tabRatio="900" activeTab="3" xr2:uid="{00000000-000D-0000-FFFF-FFFF00000000}"/>
  </bookViews>
  <sheets>
    <sheet name="fin_funkce" sheetId="18" r:id="rId1"/>
    <sheet name="úroková.míra" sheetId="3" r:id="rId2"/>
    <sheet name="platba" sheetId="7" r:id="rId3"/>
    <sheet name="platba.zaklad" sheetId="4" r:id="rId4"/>
    <sheet name="procvičení" sheetId="19" r:id="rId5"/>
    <sheet name="pocet.obdobi" sheetId="16" r:id="rId6"/>
  </sheets>
  <definedNames>
    <definedName name="dat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19" i="4"/>
  <c r="L20" i="4"/>
  <c r="L39" i="4" s="1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19" i="4"/>
  <c r="F22" i="16"/>
  <c r="D22" i="16"/>
  <c r="D16" i="16"/>
  <c r="F16" i="16"/>
  <c r="F9" i="16"/>
  <c r="E9" i="16"/>
  <c r="D17" i="19"/>
  <c r="E18" i="19"/>
  <c r="E14" i="19"/>
  <c r="E15" i="19"/>
  <c r="E16" i="19"/>
  <c r="E17" i="19"/>
  <c r="E13" i="19"/>
  <c r="D18" i="19"/>
  <c r="D14" i="19"/>
  <c r="D15" i="19"/>
  <c r="D16" i="19"/>
  <c r="D13" i="19"/>
  <c r="C18" i="19"/>
  <c r="C14" i="19"/>
  <c r="C15" i="19"/>
  <c r="C16" i="19"/>
  <c r="C17" i="19"/>
  <c r="C13" i="19"/>
  <c r="B5" i="19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35" i="4"/>
  <c r="M10" i="4"/>
  <c r="M15" i="4" s="1"/>
  <c r="M11" i="4"/>
  <c r="M12" i="4"/>
  <c r="M13" i="4"/>
  <c r="M14" i="4"/>
  <c r="L11" i="4"/>
  <c r="L12" i="4"/>
  <c r="L13" i="4"/>
  <c r="L14" i="4"/>
  <c r="L10" i="4"/>
  <c r="L15" i="4" s="1"/>
  <c r="K10" i="4"/>
  <c r="K11" i="4"/>
  <c r="K12" i="4"/>
  <c r="K13" i="4"/>
  <c r="K14" i="4"/>
  <c r="B62" i="7"/>
  <c r="F20" i="7"/>
  <c r="F18" i="7"/>
  <c r="I22" i="7"/>
  <c r="F8" i="7"/>
  <c r="I10" i="7"/>
  <c r="F6" i="7"/>
  <c r="C6" i="7"/>
  <c r="E36" i="3"/>
  <c r="C35" i="3"/>
  <c r="E35" i="3"/>
  <c r="R26" i="3"/>
  <c r="P26" i="3"/>
  <c r="S17" i="3"/>
  <c r="S10" i="3"/>
  <c r="L16" i="4"/>
  <c r="B56" i="7"/>
  <c r="B22" i="16"/>
  <c r="M27" i="3"/>
  <c r="K22" i="7"/>
  <c r="J10" i="7"/>
  <c r="E30" i="3"/>
  <c r="E29" i="3"/>
  <c r="O17" i="3"/>
  <c r="O10" i="3"/>
  <c r="B16" i="16"/>
  <c r="C9" i="16"/>
  <c r="B9" i="16"/>
  <c r="L10" i="16" s="1"/>
  <c r="F29" i="4"/>
  <c r="F28" i="4"/>
  <c r="E15" i="4"/>
  <c r="E11" i="4"/>
  <c r="E12" i="4"/>
  <c r="E13" i="4"/>
  <c r="E14" i="4"/>
  <c r="E10" i="4"/>
  <c r="D15" i="4"/>
  <c r="D11" i="4"/>
  <c r="D12" i="4"/>
  <c r="D13" i="4"/>
  <c r="D14" i="4"/>
  <c r="D10" i="4"/>
  <c r="C15" i="4"/>
  <c r="C11" i="4"/>
  <c r="C12" i="4"/>
  <c r="C13" i="4"/>
  <c r="C14" i="4"/>
  <c r="C10" i="4"/>
  <c r="F51" i="7"/>
  <c r="C51" i="7"/>
  <c r="C36" i="3"/>
  <c r="N10" i="3"/>
  <c r="N17" i="3"/>
  <c r="C42" i="7"/>
  <c r="C39" i="7"/>
  <c r="C22" i="7"/>
  <c r="F22" i="7" s="1"/>
  <c r="C10" i="7"/>
  <c r="F10" i="7" s="1"/>
  <c r="C30" i="3"/>
  <c r="C29" i="3"/>
  <c r="D28" i="4"/>
  <c r="K39" i="4" l="1"/>
  <c r="F55" i="4"/>
  <c r="E55" i="4"/>
  <c r="D55" i="4"/>
  <c r="K15" i="4"/>
  <c r="M39" i="4"/>
</calcChain>
</file>

<file path=xl/sharedStrings.xml><?xml version="1.0" encoding="utf-8"?>
<sst xmlns="http://schemas.openxmlformats.org/spreadsheetml/2006/main" count="144" uniqueCount="89">
  <si>
    <t>půjčka</t>
  </si>
  <si>
    <t xml:space="preserve"> </t>
  </si>
  <si>
    <t>úrok</t>
  </si>
  <si>
    <t>počet splátek</t>
  </si>
  <si>
    <t>Příklad 2</t>
  </si>
  <si>
    <t>splátka</t>
  </si>
  <si>
    <t>úroková míra:</t>
  </si>
  <si>
    <t>počet let</t>
  </si>
  <si>
    <t>A</t>
  </si>
  <si>
    <t>perioda</t>
  </si>
  <si>
    <t>dluh</t>
  </si>
  <si>
    <t xml:space="preserve">úrok </t>
  </si>
  <si>
    <t>rok</t>
  </si>
  <si>
    <t>jistina</t>
  </si>
  <si>
    <t>B</t>
  </si>
  <si>
    <t>Výše hypotéky:</t>
  </si>
  <si>
    <t>období</t>
  </si>
  <si>
    <t>výše úroků v</t>
  </si>
  <si>
    <t>roce</t>
  </si>
  <si>
    <t>ÚROK</t>
  </si>
  <si>
    <t>PŮJČKA</t>
  </si>
  <si>
    <t>PLATBA</t>
  </si>
  <si>
    <t>úroková míra</t>
  </si>
  <si>
    <t xml:space="preserve">  </t>
  </si>
  <si>
    <t>Příklad 6</t>
  </si>
  <si>
    <t xml:space="preserve">Splácení pětiletého investičního úvěru. </t>
  </si>
  <si>
    <t xml:space="preserve">Příklad 3  </t>
  </si>
  <si>
    <t>Prodejce elektroniky nabízí půjčku na techniku ve výši 20 000 Kč s úrokem 16% a dobou splatnosti 24 měsíců, jaká je výše měsíční splátky?</t>
  </si>
  <si>
    <t xml:space="preserve">Příklad 4 </t>
  </si>
  <si>
    <t>Funkce pro financování se používají nejen pro dluhové financování, ale i pro spoření. Můžete si tak například zjistit, kolik byste museli spořit měsíčně v případě, že byste chtěli mít naspořeno po 20 letech do penzijního  fondu s průměrným ročním výnosem 3%  částku 1 000 000 Kč.</t>
  </si>
  <si>
    <t>POČET MĚSÍCŮ</t>
  </si>
  <si>
    <t>Příklad 1</t>
  </si>
  <si>
    <t>POČET LET</t>
  </si>
  <si>
    <t>NASPOŘENO</t>
  </si>
  <si>
    <t>Příklad 5</t>
  </si>
  <si>
    <t xml:space="preserve">Základní údaje: </t>
  </si>
  <si>
    <t xml:space="preserve"> pořizovací cena  </t>
  </si>
  <si>
    <t xml:space="preserve">LEASING </t>
  </si>
  <si>
    <t xml:space="preserve"> akontace                </t>
  </si>
  <si>
    <t xml:space="preserve"> počet splátek                </t>
  </si>
  <si>
    <t xml:space="preserve"> odkupní cena               </t>
  </si>
  <si>
    <t xml:space="preserve"> úroková sazba  </t>
  </si>
  <si>
    <t xml:space="preserve">Výpočet splátky s odkupní cenou </t>
  </si>
  <si>
    <t>Výpočet splátky bez odkupní ceny</t>
  </si>
  <si>
    <t>Příklad 7</t>
  </si>
  <si>
    <t xml:space="preserve">Výpočet splátek hypotéky </t>
  </si>
  <si>
    <t xml:space="preserve">Příklad 8 </t>
  </si>
  <si>
    <t>Za jak dlouho splatíte půjčku 100 000 Kč s úrokem 10% budete-li splácet 3 000 měsíčně</t>
  </si>
  <si>
    <t xml:space="preserve">Příklad 9 </t>
  </si>
  <si>
    <t xml:space="preserve"> Za kolik let naspoříte 1 000 000 Kč při pravidelné  měsíční splátce 4000 Kč a úrokem 4%.</t>
  </si>
  <si>
    <t>4 základní okruhy</t>
  </si>
  <si>
    <t>1. Financování</t>
  </si>
  <si>
    <t>2. Investiční rozhodování</t>
  </si>
  <si>
    <t>3. Výpočty odpisů</t>
  </si>
  <si>
    <t>4. Funkce pro cenné papíry</t>
  </si>
  <si>
    <t>Nejpoužívanější finační funkce jsou založeny na výpočtu úrokové míry a jsou určeny
k výpočtům úvěrů, leasingů, plateb úroků, spoření a hypoték.</t>
  </si>
  <si>
    <t>základní argumenty finančních funkcí</t>
  </si>
  <si>
    <t>FINANČNÍ FUNKCE</t>
  </si>
  <si>
    <t>Typ - číslo určující, kdy je platba prováděna, (0 - na konci období, 1 - na začátku období), 
pokud není uveden typ, je standardně nastaven typ 0</t>
  </si>
  <si>
    <t xml:space="preserve">Typickým příkladem je výpočet úrokové míry u splátkových společností. Mezi standardní nabídkou splátkových společností je příklad s heslem jen jednu splátku navíc.  Pořiďte si TV v ceně 10 000 Kč, složte jen 1000 Kč a poté zaplaťte 10 x 1000. </t>
  </si>
  <si>
    <t>měsíční  splátka</t>
  </si>
  <si>
    <r>
      <rPr>
        <b/>
        <sz val="16"/>
        <color rgb="FFFF0000"/>
        <rFont val="Arial"/>
        <family val="2"/>
        <charset val="238"/>
      </rPr>
      <t>Souč_hod</t>
    </r>
    <r>
      <rPr>
        <sz val="11"/>
        <rFont val="Arial"/>
        <family val="2"/>
        <charset val="238"/>
      </rPr>
      <t xml:space="preserve"> - aktuální nebo celková hodnota budoucích plateb</t>
    </r>
  </si>
  <si>
    <r>
      <rPr>
        <b/>
        <sz val="14"/>
        <color rgb="FFFF0000"/>
        <rFont val="Arial"/>
        <family val="2"/>
        <charset val="238"/>
      </rPr>
      <t>Bud_hodnota</t>
    </r>
    <r>
      <rPr>
        <sz val="11"/>
        <rFont val="Arial"/>
        <family val="2"/>
        <charset val="238"/>
      </rPr>
      <t xml:space="preserve"> - předpokládaná budoucí hodnota, které má být dosaženo, pokud není uvedena je 0</t>
    </r>
  </si>
  <si>
    <r>
      <rPr>
        <b/>
        <sz val="14"/>
        <color rgb="FFFF0000"/>
        <rFont val="Arial"/>
        <family val="2"/>
        <charset val="238"/>
      </rPr>
      <t>Splátka</t>
    </r>
    <r>
      <rPr>
        <sz val="11"/>
        <rFont val="Arial"/>
        <family val="2"/>
        <charset val="238"/>
      </rPr>
      <t xml:space="preserve"> - pravidelné splátky za dané období (obvykle měsíc), jedná-li se o dluh - </t>
    </r>
    <r>
      <rPr>
        <b/>
        <sz val="14"/>
        <color rgb="FFFF0000"/>
        <rFont val="Arial"/>
        <family val="2"/>
        <charset val="238"/>
      </rPr>
      <t>záporná hodnota</t>
    </r>
  </si>
  <si>
    <r>
      <rPr>
        <b/>
        <sz val="16"/>
        <color rgb="FFFF0000"/>
        <rFont val="Arial"/>
        <family val="2"/>
        <charset val="238"/>
      </rPr>
      <t>SAZBA</t>
    </r>
    <r>
      <rPr>
        <sz val="11"/>
        <rFont val="Arial"/>
        <family val="2"/>
        <charset val="238"/>
      </rPr>
      <t xml:space="preserve"> - úroková sazba dané půjčky nebo splátky za určené období, úrokovou sazbu je
nutné vložit vztaženou k počtu období, u měsíčních splátek se roční sazba dělí 12</t>
    </r>
  </si>
  <si>
    <r>
      <rPr>
        <b/>
        <sz val="16"/>
        <color rgb="FFFF0000"/>
        <rFont val="Arial"/>
        <family val="2"/>
        <charset val="238"/>
      </rPr>
      <t>Pper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- je celkový počet úročených období anuity, anuita je série konstantních hotovostních plateb v průběhu spojitého období </t>
    </r>
  </si>
  <si>
    <t>KONTROLA:</t>
  </si>
  <si>
    <t>kontrola:</t>
  </si>
  <si>
    <t>Jakou leasingovou společnost si vybrat při leasingu osobního automobilu s pořizovací cenou 1 300 000 Kč, pokud máme následující nabídku
A.) akontace  300 000 Kč, měsíční splátka 35000  Kč po dobu 36 měsíců a odprodejem po 36 měsících za 1000 Kč
B.) akontace 100 000 Kč a měsíční splátka 26 000 Kč po dobu 48 měsíců a se závěrečným odkoupením  za 10 000 Kč.</t>
  </si>
  <si>
    <t>kolik byste museli spořit měsíčně v případě, že byste chtěli mít naspořeno po 30 letech do penzijního  fondu s průměrným ročním výnosem 2,1%  částku 1600000</t>
  </si>
  <si>
    <t>měsíc</t>
  </si>
  <si>
    <t>Jakou leasingovou společnost si vybrat při leasingu osobního automobilu s pořizovací cenou 300 000 Kč, pokud máme následující nabídku
A.) akontace  80 000 Kč, měsíční splátka 7000  Kč po dobu 36 měsíců a odprodejem po 36 měsících za 1000 Kč
B.) akontace 70 000 Kč a měsíční splátka 5000 Kč po dobu 48 měsíců a se závěrečným odkoupením  za 10 000 Kč.</t>
  </si>
  <si>
    <t>Příklad:
Nákup automobilu v ceně
280000, akontace 50000
Splátka 36x
Na konci odprodej
za 5000kč
Splátka 9000kč</t>
  </si>
  <si>
    <t>Za jak dlouho naspořím 720000 při měsíční splátce 4500 při úroku 4,8%</t>
  </si>
  <si>
    <t>Kolik musím spořit měsíčně, abych za deset let při úroku 4,8% měl/a 720000?</t>
  </si>
  <si>
    <t>Zadání příkladu:</t>
  </si>
  <si>
    <t xml:space="preserve">Pořiďte si TV v ceně 17 500 Kč, složte jen 1000 Kč a poté zaplaťte 17 x 1000. </t>
  </si>
  <si>
    <t>Varianta a)</t>
  </si>
  <si>
    <t>Varianta b)</t>
  </si>
  <si>
    <t>ÚROK MĚS.</t>
  </si>
  <si>
    <t>Za 5 let při úroku 4,5% chci mít 250 000,-, měsíční splátka?</t>
  </si>
  <si>
    <t>Př 1</t>
  </si>
  <si>
    <t>Úrok ?</t>
  </si>
  <si>
    <t>notebook za 22 000 Kč, patba 1000 Kč, 24 splátek po 1000 Kč (měsíc)</t>
  </si>
  <si>
    <t>Př 2</t>
  </si>
  <si>
    <t>firma pořídila stroj za 500 000 Kč do analýzy potřebuje informaci o ročních splátkách</t>
  </si>
  <si>
    <t>banka nabídla úrok 5,5%, splácet budou 5 let</t>
  </si>
  <si>
    <t xml:space="preserve">rok 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</si>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</sst>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8" formatCode="#,##0.00\ &quot;Kč&quot;;[Red]\-#,##0.00\ &quot;Kč&quot;"/>
    <numFmt numFmtId="164" formatCode="0.0%"/>
    <numFmt numFmtId="165" formatCode="0.000000"/>
    <numFmt numFmtId="166" formatCode="0.0"/>
    <numFmt numFmtId="167" formatCode="0.000%"/>
    <numFmt numFmtId="168" formatCode="0.00;[Red]0.00"/>
    <numFmt numFmtId="169" formatCode="_(* #,##0.0_);_(* \(#,##0.0\);_(* &quot;-&quot;??_);_(@_)"/>
    <numFmt numFmtId="170" formatCode="0;[Red]0"/>
    <numFmt numFmtId="171" formatCode="0.00_);[Red]\(0.00\)"/>
    <numFmt numFmtId="172" formatCode="0.00_);\(0.00\)"/>
    <numFmt numFmtId="173" formatCode="0.0_);\(0.0\)"/>
    <numFmt numFmtId="174" formatCode="0_);\(0\)"/>
    <numFmt numFmtId="175" formatCode="0.0_);[Red]\(0.0\)"/>
    <numFmt numFmtId="176" formatCode="0%;\(0%\)"/>
    <numFmt numFmtId="177" formatCode="0.000"/>
    <numFmt numFmtId="178" formatCode="#,##0.0\ &quot;Kč&quot;;[Red]\-#,##0.0\ &quot;Kč&quot;"/>
  </numFmts>
  <fonts count="2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2"/>
      <name val="Arial"/>
      <family val="2"/>
      <charset val="238"/>
    </font>
    <font>
      <b/>
      <sz val="22"/>
      <name val="Arial"/>
      <family val="2"/>
      <charset val="238"/>
    </font>
    <font>
      <sz val="1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color theme="4"/>
      <name val="Arial"/>
      <family val="2"/>
      <charset val="238"/>
    </font>
    <font>
      <sz val="16"/>
      <name val="Arial"/>
      <family val="2"/>
      <charset val="238"/>
    </font>
    <font>
      <b/>
      <sz val="16"/>
      <color theme="4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3" tint="0.3999755851924192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165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171" fontId="5" fillId="0" borderId="0" applyFill="0" applyBorder="0" applyAlignment="0"/>
    <xf numFmtId="172" fontId="5" fillId="0" borderId="0" applyFill="0" applyBorder="0" applyAlignment="0"/>
    <xf numFmtId="168" fontId="5" fillId="0" borderId="0" applyFill="0" applyBorder="0" applyAlignment="0"/>
    <xf numFmtId="173" fontId="5" fillId="0" borderId="0" applyFill="0" applyBorder="0" applyAlignment="0"/>
    <xf numFmtId="169" fontId="5" fillId="0" borderId="0" applyFill="0" applyBorder="0" applyAlignment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9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4" fontId="7" fillId="0" borderId="0" applyFill="0" applyBorder="0" applyAlignment="0"/>
    <xf numFmtId="168" fontId="5" fillId="0" borderId="0" applyFill="0" applyBorder="0" applyAlignment="0"/>
    <xf numFmtId="169" fontId="5" fillId="0" borderId="0" applyFill="0" applyBorder="0" applyAlignment="0"/>
    <xf numFmtId="168" fontId="5" fillId="0" borderId="0" applyFill="0" applyBorder="0" applyAlignment="0"/>
    <xf numFmtId="173" fontId="5" fillId="0" borderId="0" applyFill="0" applyBorder="0" applyAlignment="0"/>
    <xf numFmtId="169" fontId="5" fillId="0" borderId="0" applyFill="0" applyBorder="0" applyAlignment="0"/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68" fontId="5" fillId="0" borderId="0" applyFill="0" applyBorder="0" applyAlignment="0"/>
    <xf numFmtId="169" fontId="5" fillId="0" borderId="0" applyFill="0" applyBorder="0" applyAlignment="0"/>
    <xf numFmtId="168" fontId="5" fillId="0" borderId="0" applyFill="0" applyBorder="0" applyAlignment="0"/>
    <xf numFmtId="173" fontId="5" fillId="0" borderId="0" applyFill="0" applyBorder="0" applyAlignment="0"/>
    <xf numFmtId="169" fontId="5" fillId="0" borderId="0" applyFill="0" applyBorder="0" applyAlignment="0"/>
    <xf numFmtId="176" fontId="5" fillId="0" borderId="0"/>
    <xf numFmtId="0" fontId="5" fillId="0" borderId="0"/>
    <xf numFmtId="172" fontId="5" fillId="0" borderId="0" applyFont="0" applyFill="0" applyBorder="0" applyAlignment="0" applyProtection="0"/>
    <xf numFmtId="176" fontId="6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68" fontId="5" fillId="0" borderId="0" applyFill="0" applyBorder="0" applyAlignment="0"/>
    <xf numFmtId="169" fontId="5" fillId="0" borderId="0" applyFill="0" applyBorder="0" applyAlignment="0"/>
    <xf numFmtId="168" fontId="5" fillId="0" borderId="0" applyFill="0" applyBorder="0" applyAlignment="0"/>
    <xf numFmtId="173" fontId="5" fillId="0" borderId="0" applyFill="0" applyBorder="0" applyAlignment="0"/>
    <xf numFmtId="169" fontId="5" fillId="0" borderId="0" applyFill="0" applyBorder="0" applyAlignment="0"/>
    <xf numFmtId="9" fontId="1" fillId="0" borderId="0" applyFont="0" applyFill="0" applyBorder="0" applyAlignment="0" applyProtection="0"/>
    <xf numFmtId="49" fontId="7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</cellStyleXfs>
  <cellXfs count="91">
    <xf numFmtId="0" fontId="0" fillId="0" borderId="0" xfId="0"/>
    <xf numFmtId="9" fontId="0" fillId="0" borderId="0" xfId="0" applyNumberFormat="1"/>
    <xf numFmtId="8" fontId="0" fillId="0" borderId="0" xfId="0" applyNumberFormat="1"/>
    <xf numFmtId="0" fontId="3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0" xfId="0" applyFont="1"/>
    <xf numFmtId="0" fontId="0" fillId="0" borderId="14" xfId="0" applyBorder="1"/>
    <xf numFmtId="0" fontId="4" fillId="0" borderId="13" xfId="0" applyFont="1" applyBorder="1"/>
    <xf numFmtId="0" fontId="0" fillId="0" borderId="15" xfId="0" applyBorder="1"/>
    <xf numFmtId="0" fontId="0" fillId="0" borderId="16" xfId="0" applyBorder="1"/>
    <xf numFmtId="0" fontId="0" fillId="0" borderId="4" xfId="0" applyBorder="1"/>
    <xf numFmtId="0" fontId="4" fillId="0" borderId="15" xfId="0" applyFont="1" applyBorder="1"/>
    <xf numFmtId="0" fontId="3" fillId="0" borderId="0" xfId="0" applyFont="1" applyAlignment="1">
      <alignment horizontal="justify"/>
    </xf>
    <xf numFmtId="0" fontId="4" fillId="0" borderId="0" xfId="0" applyFont="1" applyAlignment="1">
      <alignment horizontal="justify"/>
    </xf>
    <xf numFmtId="8" fontId="4" fillId="0" borderId="0" xfId="0" applyNumberFormat="1" applyFont="1" applyAlignment="1">
      <alignment horizontal="justify"/>
    </xf>
    <xf numFmtId="0" fontId="4" fillId="0" borderId="14" xfId="0" applyFont="1" applyBorder="1"/>
    <xf numFmtId="0" fontId="0" fillId="0" borderId="3" xfId="0" applyBorder="1"/>
    <xf numFmtId="0" fontId="12" fillId="5" borderId="3" xfId="0" applyFont="1" applyFill="1" applyBorder="1"/>
    <xf numFmtId="9" fontId="12" fillId="5" borderId="3" xfId="41" applyFont="1" applyFill="1" applyBorder="1"/>
    <xf numFmtId="8" fontId="12" fillId="4" borderId="3" xfId="0" applyNumberFormat="1" applyFont="1" applyFill="1" applyBorder="1"/>
    <xf numFmtId="166" fontId="12" fillId="4" borderId="3" xfId="0" applyNumberFormat="1" applyFont="1" applyFill="1" applyBorder="1"/>
    <xf numFmtId="177" fontId="12" fillId="4" borderId="3" xfId="41" applyNumberFormat="1" applyFont="1" applyFill="1" applyBorder="1"/>
    <xf numFmtId="166" fontId="0" fillId="0" borderId="0" xfId="0" applyNumberFormat="1"/>
    <xf numFmtId="0" fontId="4" fillId="0" borderId="1" xfId="0" applyFont="1" applyBorder="1"/>
    <xf numFmtId="0" fontId="4" fillId="0" borderId="17" xfId="0" applyFont="1" applyBorder="1"/>
    <xf numFmtId="0" fontId="13" fillId="0" borderId="3" xfId="0" applyFont="1" applyBorder="1"/>
    <xf numFmtId="0" fontId="4" fillId="0" borderId="8" xfId="0" applyFont="1" applyBorder="1"/>
    <xf numFmtId="2" fontId="11" fillId="4" borderId="0" xfId="0" applyNumberFormat="1" applyFont="1" applyFill="1" applyAlignment="1">
      <alignment horizontal="justify"/>
    </xf>
    <xf numFmtId="0" fontId="10" fillId="0" borderId="0" xfId="0" applyFont="1"/>
    <xf numFmtId="0" fontId="15" fillId="0" borderId="0" xfId="0" applyFont="1" applyAlignment="1">
      <alignment wrapText="1"/>
    </xf>
    <xf numFmtId="0" fontId="15" fillId="0" borderId="0" xfId="0" applyFont="1"/>
    <xf numFmtId="0" fontId="14" fillId="6" borderId="0" xfId="0" applyFont="1" applyFill="1" applyAlignment="1">
      <alignment horizontal="center"/>
    </xf>
    <xf numFmtId="0" fontId="16" fillId="0" borderId="0" xfId="0" applyFont="1" applyAlignment="1">
      <alignment wrapText="1"/>
    </xf>
    <xf numFmtId="0" fontId="20" fillId="0" borderId="3" xfId="0" applyFont="1" applyBorder="1"/>
    <xf numFmtId="0" fontId="21" fillId="5" borderId="3" xfId="0" applyFont="1" applyFill="1" applyBorder="1"/>
    <xf numFmtId="10" fontId="21" fillId="4" borderId="3" xfId="0" applyNumberFormat="1" applyFont="1" applyFill="1" applyBorder="1"/>
    <xf numFmtId="0" fontId="22" fillId="0" borderId="0" xfId="0" applyFont="1"/>
    <xf numFmtId="10" fontId="23" fillId="4" borderId="3" xfId="0" applyNumberFormat="1" applyFont="1" applyFill="1" applyBorder="1"/>
    <xf numFmtId="167" fontId="23" fillId="4" borderId="3" xfId="0" applyNumberFormat="1" applyFont="1" applyFill="1" applyBorder="1"/>
    <xf numFmtId="9" fontId="12" fillId="5" borderId="3" xfId="0" applyNumberFormat="1" applyFont="1" applyFill="1" applyBorder="1"/>
    <xf numFmtId="9" fontId="0" fillId="4" borderId="0" xfId="0" applyNumberFormat="1" applyFill="1"/>
    <xf numFmtId="164" fontId="12" fillId="5" borderId="3" xfId="41" applyNumberFormat="1" applyFont="1" applyFill="1" applyBorder="1"/>
    <xf numFmtId="1" fontId="12" fillId="4" borderId="3" xfId="0" applyNumberFormat="1" applyFont="1" applyFill="1" applyBorder="1"/>
    <xf numFmtId="177" fontId="0" fillId="0" borderId="0" xfId="0" applyNumberFormat="1"/>
    <xf numFmtId="10" fontId="20" fillId="0" borderId="0" xfId="0" applyNumberFormat="1" applyFont="1"/>
    <xf numFmtId="10" fontId="24" fillId="0" borderId="0" xfId="0" applyNumberFormat="1" applyFont="1"/>
    <xf numFmtId="8" fontId="0" fillId="4" borderId="0" xfId="0" applyNumberFormat="1" applyFill="1"/>
    <xf numFmtId="0" fontId="0" fillId="0" borderId="0" xfId="0" applyAlignment="1">
      <alignment wrapText="1"/>
    </xf>
    <xf numFmtId="0" fontId="0" fillId="4" borderId="0" xfId="0" applyFill="1"/>
    <xf numFmtId="10" fontId="0" fillId="4" borderId="0" xfId="0" applyNumberFormat="1" applyFill="1"/>
    <xf numFmtId="0" fontId="25" fillId="7" borderId="0" xfId="0" applyFont="1" applyFill="1"/>
    <xf numFmtId="10" fontId="0" fillId="0" borderId="0" xfId="0" applyNumberFormat="1"/>
    <xf numFmtId="3" fontId="25" fillId="7" borderId="0" xfId="0" applyNumberFormat="1" applyFont="1" applyFill="1"/>
    <xf numFmtId="10" fontId="24" fillId="4" borderId="0" xfId="0" applyNumberFormat="1" applyFont="1" applyFill="1"/>
    <xf numFmtId="10" fontId="12" fillId="5" borderId="3" xfId="0" applyNumberFormat="1" applyFont="1" applyFill="1" applyBorder="1"/>
    <xf numFmtId="178" fontId="0" fillId="0" borderId="3" xfId="0" applyNumberForma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/>
    <xf numFmtId="178" fontId="0" fillId="0" borderId="23" xfId="0" applyNumberFormat="1" applyBorder="1"/>
    <xf numFmtId="178" fontId="0" fillId="0" borderId="24" xfId="0" applyNumberFormat="1" applyBorder="1"/>
    <xf numFmtId="178" fontId="0" fillId="0" borderId="25" xfId="0" applyNumberFormat="1" applyBorder="1"/>
    <xf numFmtId="178" fontId="0" fillId="0" borderId="26" xfId="0" applyNumberFormat="1" applyBorder="1"/>
    <xf numFmtId="178" fontId="0" fillId="0" borderId="27" xfId="0" applyNumberFormat="1" applyBorder="1"/>
    <xf numFmtId="178" fontId="0" fillId="4" borderId="31" xfId="0" applyNumberFormat="1" applyFill="1" applyBorder="1"/>
    <xf numFmtId="178" fontId="0" fillId="4" borderId="32" xfId="0" applyNumberFormat="1" applyFill="1" applyBorder="1"/>
    <xf numFmtId="178" fontId="0" fillId="4" borderId="33" xfId="0" applyNumberFormat="1" applyFill="1" applyBorder="1"/>
    <xf numFmtId="178" fontId="0" fillId="0" borderId="28" xfId="0" applyNumberFormat="1" applyBorder="1"/>
    <xf numFmtId="178" fontId="0" fillId="0" borderId="29" xfId="0" applyNumberFormat="1" applyBorder="1"/>
    <xf numFmtId="178" fontId="0" fillId="0" borderId="30" xfId="0" applyNumberFormat="1" applyBorder="1"/>
    <xf numFmtId="2" fontId="0" fillId="4" borderId="0" xfId="0" applyNumberFormat="1" applyFill="1"/>
    <xf numFmtId="166" fontId="0" fillId="4" borderId="0" xfId="0" applyNumberFormat="1" applyFill="1"/>
    <xf numFmtId="0" fontId="19" fillId="0" borderId="16" xfId="0" applyFont="1" applyBorder="1" applyAlignment="1">
      <alignment horizontal="justify" vertical="justify" wrapText="1"/>
    </xf>
    <xf numFmtId="0" fontId="19" fillId="0" borderId="1" xfId="0" applyFont="1" applyBorder="1" applyAlignment="1">
      <alignment horizontal="justify" vertical="justify" wrapText="1"/>
    </xf>
    <xf numFmtId="0" fontId="19" fillId="0" borderId="17" xfId="0" applyFont="1" applyBorder="1" applyAlignment="1">
      <alignment horizontal="justify" vertical="justify" wrapText="1"/>
    </xf>
    <xf numFmtId="0" fontId="3" fillId="0" borderId="0" xfId="0" applyFont="1" applyAlignment="1">
      <alignment horizontal="left"/>
    </xf>
    <xf numFmtId="0" fontId="4" fillId="0" borderId="16" xfId="0" applyFont="1" applyBorder="1" applyAlignment="1">
      <alignment horizontal="justify" vertical="justify" wrapText="1"/>
    </xf>
    <xf numFmtId="0" fontId="4" fillId="0" borderId="1" xfId="0" applyFont="1" applyBorder="1" applyAlignment="1">
      <alignment horizontal="justify" vertical="justify" wrapText="1"/>
    </xf>
    <xf numFmtId="0" fontId="4" fillId="0" borderId="17" xfId="0" applyFont="1" applyBorder="1" applyAlignment="1">
      <alignment horizontal="justify" vertical="justify" wrapText="1"/>
    </xf>
    <xf numFmtId="0" fontId="4" fillId="0" borderId="0" xfId="0" applyFont="1" applyAlignment="1">
      <alignment horizontal="center"/>
    </xf>
  </cellXfs>
  <cellStyles count="45">
    <cellStyle name="Calc Currency (0)" xfId="1" xr:uid="{00000000-0005-0000-0000-000000000000}"/>
    <cellStyle name="Calc Currency (2)" xfId="2" xr:uid="{00000000-0005-0000-0000-000001000000}"/>
    <cellStyle name="Calc Percent (0)" xfId="3" xr:uid="{00000000-0005-0000-0000-000002000000}"/>
    <cellStyle name="Calc Percent (1)" xfId="4" xr:uid="{00000000-0005-0000-0000-000003000000}"/>
    <cellStyle name="Calc Percent (2)" xfId="5" xr:uid="{00000000-0005-0000-0000-000004000000}"/>
    <cellStyle name="Calc Units (0)" xfId="6" xr:uid="{00000000-0005-0000-0000-000005000000}"/>
    <cellStyle name="Calc Units (1)" xfId="7" xr:uid="{00000000-0005-0000-0000-000006000000}"/>
    <cellStyle name="Calc Units (2)" xfId="8" xr:uid="{00000000-0005-0000-0000-000007000000}"/>
    <cellStyle name="Comma [0]_#6 Temps &amp; Contractors" xfId="9" xr:uid="{00000000-0005-0000-0000-000008000000}"/>
    <cellStyle name="Comma [00]" xfId="10" xr:uid="{00000000-0005-0000-0000-000009000000}"/>
    <cellStyle name="Comma_#6 Temps &amp; Contractors" xfId="11" xr:uid="{00000000-0005-0000-0000-00000A000000}"/>
    <cellStyle name="Currency [0]_#6 Temps &amp; Contractors" xfId="12" xr:uid="{00000000-0005-0000-0000-00000B000000}"/>
    <cellStyle name="Currency [00]" xfId="13" xr:uid="{00000000-0005-0000-0000-00000C000000}"/>
    <cellStyle name="Currency_#6 Temps &amp; Contractors" xfId="14" xr:uid="{00000000-0005-0000-0000-00000D000000}"/>
    <cellStyle name="Date Short" xfId="15" xr:uid="{00000000-0005-0000-0000-00000F000000}"/>
    <cellStyle name="Enter Currency (0)" xfId="16" xr:uid="{00000000-0005-0000-0000-000010000000}"/>
    <cellStyle name="Enter Currency (2)" xfId="17" xr:uid="{00000000-0005-0000-0000-000011000000}"/>
    <cellStyle name="Enter Units (0)" xfId="18" xr:uid="{00000000-0005-0000-0000-000012000000}"/>
    <cellStyle name="Enter Units (1)" xfId="19" xr:uid="{00000000-0005-0000-0000-000013000000}"/>
    <cellStyle name="Enter Units (2)" xfId="20" xr:uid="{00000000-0005-0000-0000-000014000000}"/>
    <cellStyle name="Grey" xfId="21" xr:uid="{00000000-0005-0000-0000-000015000000}"/>
    <cellStyle name="Header1" xfId="22" xr:uid="{00000000-0005-0000-0000-000016000000}"/>
    <cellStyle name="Header2" xfId="23" xr:uid="{00000000-0005-0000-0000-000017000000}"/>
    <cellStyle name="Input [yellow]" xfId="24" xr:uid="{00000000-0005-0000-0000-000018000000}"/>
    <cellStyle name="Link Currency (0)" xfId="25" xr:uid="{00000000-0005-0000-0000-000019000000}"/>
    <cellStyle name="Link Currency (2)" xfId="26" xr:uid="{00000000-0005-0000-0000-00001A000000}"/>
    <cellStyle name="Link Units (0)" xfId="27" xr:uid="{00000000-0005-0000-0000-00001B000000}"/>
    <cellStyle name="Link Units (1)" xfId="28" xr:uid="{00000000-0005-0000-0000-00001C000000}"/>
    <cellStyle name="Link Units (2)" xfId="29" xr:uid="{00000000-0005-0000-0000-00001D000000}"/>
    <cellStyle name="Normal - Style1" xfId="30" xr:uid="{00000000-0005-0000-0000-00001F000000}"/>
    <cellStyle name="Normal_# 41-Market &amp;Trends" xfId="31" xr:uid="{00000000-0005-0000-0000-000020000000}"/>
    <cellStyle name="Normální" xfId="0" builtinId="0"/>
    <cellStyle name="Percent [0]" xfId="32" xr:uid="{00000000-0005-0000-0000-000023000000}"/>
    <cellStyle name="Percent [00]" xfId="33" xr:uid="{00000000-0005-0000-0000-000024000000}"/>
    <cellStyle name="Percent [2]" xfId="34" xr:uid="{00000000-0005-0000-0000-000025000000}"/>
    <cellStyle name="Percent_#6 Temps &amp; Contractors" xfId="35" xr:uid="{00000000-0005-0000-0000-000026000000}"/>
    <cellStyle name="PrePop Currency (0)" xfId="36" xr:uid="{00000000-0005-0000-0000-000027000000}"/>
    <cellStyle name="PrePop Currency (2)" xfId="37" xr:uid="{00000000-0005-0000-0000-000028000000}"/>
    <cellStyle name="PrePop Units (0)" xfId="38" xr:uid="{00000000-0005-0000-0000-000029000000}"/>
    <cellStyle name="PrePop Units (1)" xfId="39" xr:uid="{00000000-0005-0000-0000-00002A000000}"/>
    <cellStyle name="PrePop Units (2)" xfId="40" xr:uid="{00000000-0005-0000-0000-00002B000000}"/>
    <cellStyle name="Procenta" xfId="41" builtinId="5"/>
    <cellStyle name="Text Indent A" xfId="42" xr:uid="{00000000-0005-0000-0000-00002D000000}"/>
    <cellStyle name="Text Indent B" xfId="43" xr:uid="{00000000-0005-0000-0000-00002E000000}"/>
    <cellStyle name="Text Indent C" xfId="44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topLeftCell="A8" zoomScaleNormal="100" workbookViewId="0">
      <selection activeCell="E17" sqref="E17"/>
    </sheetView>
  </sheetViews>
  <sheetFormatPr defaultRowHeight="12.75" x14ac:dyDescent="0.2"/>
  <cols>
    <col min="1" max="1" width="98.5703125" customWidth="1"/>
  </cols>
  <sheetData>
    <row r="1" spans="1:1" ht="27.75" x14ac:dyDescent="0.4">
      <c r="A1" s="39" t="s">
        <v>57</v>
      </c>
    </row>
    <row r="2" spans="1:1" x14ac:dyDescent="0.2">
      <c r="A2" s="3" t="s">
        <v>50</v>
      </c>
    </row>
    <row r="4" spans="1:1" x14ac:dyDescent="0.2">
      <c r="A4" t="s">
        <v>51</v>
      </c>
    </row>
    <row r="6" spans="1:1" x14ac:dyDescent="0.2">
      <c r="A6" t="s">
        <v>52</v>
      </c>
    </row>
    <row r="8" spans="1:1" x14ac:dyDescent="0.2">
      <c r="A8" t="s">
        <v>53</v>
      </c>
    </row>
    <row r="10" spans="1:1" x14ac:dyDescent="0.2">
      <c r="A10" t="s">
        <v>54</v>
      </c>
    </row>
    <row r="11" spans="1:1" ht="6" customHeight="1" x14ac:dyDescent="0.2"/>
    <row r="12" spans="1:1" ht="76.5" customHeight="1" x14ac:dyDescent="0.25">
      <c r="A12" s="40" t="s">
        <v>55</v>
      </c>
    </row>
    <row r="15" spans="1:1" ht="23.25" x14ac:dyDescent="0.35">
      <c r="A15" s="36" t="s">
        <v>56</v>
      </c>
    </row>
    <row r="17" spans="1:1" ht="34.5" x14ac:dyDescent="0.2">
      <c r="A17" s="37" t="s">
        <v>64</v>
      </c>
    </row>
    <row r="18" spans="1:1" ht="14.25" x14ac:dyDescent="0.2">
      <c r="A18" s="38"/>
    </row>
    <row r="19" spans="1:1" ht="34.5" x14ac:dyDescent="0.2">
      <c r="A19" s="37" t="s">
        <v>65</v>
      </c>
    </row>
    <row r="20" spans="1:1" ht="14.25" x14ac:dyDescent="0.2">
      <c r="A20" s="38"/>
    </row>
    <row r="21" spans="1:1" ht="20.25" x14ac:dyDescent="0.3">
      <c r="A21" s="38" t="s">
        <v>61</v>
      </c>
    </row>
    <row r="22" spans="1:1" ht="14.25" x14ac:dyDescent="0.2">
      <c r="A22" s="38"/>
    </row>
    <row r="23" spans="1:1" ht="18" x14ac:dyDescent="0.25">
      <c r="A23" s="38" t="s">
        <v>62</v>
      </c>
    </row>
    <row r="24" spans="1:1" ht="14.25" x14ac:dyDescent="0.2">
      <c r="A24" s="38"/>
    </row>
    <row r="25" spans="1:1" ht="18" x14ac:dyDescent="0.25">
      <c r="A25" s="38" t="s">
        <v>63</v>
      </c>
    </row>
    <row r="26" spans="1:1" ht="14.25" x14ac:dyDescent="0.2">
      <c r="A26" s="38"/>
    </row>
    <row r="27" spans="1:1" ht="28.5" x14ac:dyDescent="0.2">
      <c r="A27" s="37" t="s">
        <v>58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6"/>
  <sheetViews>
    <sheetView topLeftCell="A27" zoomScale="145" zoomScaleNormal="145" workbookViewId="0">
      <selection activeCell="E35" sqref="E35"/>
    </sheetView>
  </sheetViews>
  <sheetFormatPr defaultRowHeight="12.75" x14ac:dyDescent="0.2"/>
  <cols>
    <col min="2" max="2" width="13.7109375" bestFit="1" customWidth="1"/>
    <col min="3" max="3" width="13.42578125" customWidth="1"/>
    <col min="13" max="13" width="17.140625" customWidth="1"/>
    <col min="14" max="14" width="12" bestFit="1" customWidth="1"/>
    <col min="15" max="15" width="10.7109375" bestFit="1" customWidth="1"/>
    <col min="18" max="18" width="17" customWidth="1"/>
    <col min="19" max="19" width="10.7109375" bestFit="1" customWidth="1"/>
  </cols>
  <sheetData>
    <row r="2" spans="2:19" x14ac:dyDescent="0.2">
      <c r="B2" s="3" t="s">
        <v>31</v>
      </c>
    </row>
    <row r="3" spans="2:19" ht="13.5" thickBot="1" x14ac:dyDescent="0.25"/>
    <row r="4" spans="2:19" ht="69.75" customHeight="1" thickBot="1" x14ac:dyDescent="0.25">
      <c r="B4" s="83" t="s">
        <v>59</v>
      </c>
      <c r="C4" s="84"/>
      <c r="D4" s="84"/>
      <c r="E4" s="84"/>
      <c r="F4" s="84"/>
      <c r="G4" s="84"/>
      <c r="H4" s="84"/>
      <c r="I4" s="84"/>
      <c r="J4" s="85"/>
      <c r="M4" s="3" t="s">
        <v>6</v>
      </c>
      <c r="R4" s="3" t="s">
        <v>75</v>
      </c>
    </row>
    <row r="7" spans="2:19" ht="18" x14ac:dyDescent="0.25">
      <c r="M7" s="41" t="s">
        <v>0</v>
      </c>
      <c r="N7" s="42">
        <v>9000</v>
      </c>
      <c r="O7">
        <v>9000</v>
      </c>
      <c r="R7" s="41" t="s">
        <v>0</v>
      </c>
      <c r="S7" s="58">
        <v>9000</v>
      </c>
    </row>
    <row r="8" spans="2:19" ht="18" x14ac:dyDescent="0.25">
      <c r="M8" s="41" t="s">
        <v>5</v>
      </c>
      <c r="N8" s="42">
        <v>-1000</v>
      </c>
      <c r="O8">
        <v>-1000</v>
      </c>
      <c r="R8" s="41" t="s">
        <v>5</v>
      </c>
      <c r="S8" s="58">
        <v>-1000</v>
      </c>
    </row>
    <row r="9" spans="2:19" ht="18" x14ac:dyDescent="0.25">
      <c r="M9" s="41" t="s">
        <v>3</v>
      </c>
      <c r="N9" s="42">
        <v>10</v>
      </c>
      <c r="O9">
        <v>10</v>
      </c>
      <c r="R9" s="41" t="s">
        <v>3</v>
      </c>
      <c r="S9" s="58">
        <v>10</v>
      </c>
    </row>
    <row r="10" spans="2:19" ht="18" x14ac:dyDescent="0.25">
      <c r="M10" s="41" t="s">
        <v>22</v>
      </c>
      <c r="N10" s="43">
        <f>RATE(N9,N8,N7)*12</f>
        <v>0.23555975741116375</v>
      </c>
      <c r="O10" s="53">
        <f>RATE(O9,O8,O7)*12</f>
        <v>0.23555975741116375</v>
      </c>
      <c r="R10" s="41" t="s">
        <v>22</v>
      </c>
      <c r="S10" s="61">
        <f>RATE(S9,S8,S7)*12</f>
        <v>0.23555975741116375</v>
      </c>
    </row>
    <row r="11" spans="2:19" ht="13.5" thickBot="1" x14ac:dyDescent="0.25"/>
    <row r="12" spans="2:19" ht="33" customHeight="1" thickBot="1" x14ac:dyDescent="0.25">
      <c r="B12" s="83" t="s">
        <v>76</v>
      </c>
      <c r="C12" s="84"/>
      <c r="D12" s="84"/>
      <c r="E12" s="84"/>
      <c r="F12" s="84"/>
      <c r="G12" s="84"/>
      <c r="H12" s="84"/>
      <c r="I12" s="84"/>
      <c r="J12" s="85"/>
    </row>
    <row r="14" spans="2:19" ht="18" x14ac:dyDescent="0.25">
      <c r="M14" s="41" t="s">
        <v>0</v>
      </c>
      <c r="N14" s="42">
        <v>15000</v>
      </c>
      <c r="O14">
        <v>15000</v>
      </c>
      <c r="R14" s="41" t="s">
        <v>0</v>
      </c>
      <c r="S14" s="60">
        <v>16500</v>
      </c>
    </row>
    <row r="15" spans="2:19" ht="18" x14ac:dyDescent="0.25">
      <c r="M15" s="41" t="s">
        <v>5</v>
      </c>
      <c r="N15" s="42">
        <v>-1000</v>
      </c>
      <c r="O15">
        <v>-1000</v>
      </c>
      <c r="R15" s="41" t="s">
        <v>5</v>
      </c>
      <c r="S15" s="58">
        <v>-1000</v>
      </c>
    </row>
    <row r="16" spans="2:19" ht="18" x14ac:dyDescent="0.25">
      <c r="M16" s="41" t="s">
        <v>3</v>
      </c>
      <c r="N16" s="42">
        <v>17</v>
      </c>
      <c r="O16">
        <v>17</v>
      </c>
      <c r="R16" s="41" t="s">
        <v>3</v>
      </c>
      <c r="S16" s="58">
        <v>17</v>
      </c>
    </row>
    <row r="17" spans="2:19" ht="18" x14ac:dyDescent="0.25">
      <c r="M17" s="41" t="s">
        <v>22</v>
      </c>
      <c r="N17" s="43">
        <f>RATE(N16,N15,N14)*12</f>
        <v>0.17130868725652706</v>
      </c>
      <c r="O17" s="53">
        <f>RATE(O16,O15,O14)*12</f>
        <v>0.17130868725652706</v>
      </c>
      <c r="R17" s="41" t="s">
        <v>22</v>
      </c>
      <c r="S17" s="61">
        <f>RATE(17,S15,S14)*12</f>
        <v>4.0048239253613574E-2</v>
      </c>
    </row>
    <row r="22" spans="2:19" x14ac:dyDescent="0.2">
      <c r="D22" s="1"/>
    </row>
    <row r="23" spans="2:19" x14ac:dyDescent="0.2">
      <c r="G23" t="s">
        <v>1</v>
      </c>
      <c r="K23" s="13"/>
    </row>
    <row r="24" spans="2:19" x14ac:dyDescent="0.2">
      <c r="B24" s="3" t="s">
        <v>4</v>
      </c>
      <c r="P24" s="13" t="s">
        <v>77</v>
      </c>
      <c r="R24" s="13" t="s">
        <v>78</v>
      </c>
    </row>
    <row r="25" spans="2:19" ht="13.5" thickBot="1" x14ac:dyDescent="0.25"/>
    <row r="26" spans="2:19" ht="130.5" customHeight="1" thickBot="1" x14ac:dyDescent="0.25">
      <c r="B26" s="83" t="s">
        <v>71</v>
      </c>
      <c r="C26" s="84"/>
      <c r="D26" s="84"/>
      <c r="E26" s="84"/>
      <c r="F26" s="84"/>
      <c r="G26" s="84"/>
      <c r="H26" s="84"/>
      <c r="I26" s="84"/>
      <c r="J26" s="85"/>
      <c r="M26" s="55" t="s">
        <v>72</v>
      </c>
      <c r="P26" s="59">
        <f>RATE(36,-7000,300000-80000,-1000)*12</f>
        <v>9.275641291426906E-2</v>
      </c>
      <c r="R26" s="59">
        <f>RATE(48,-5000,300000-70000,-10000)*12</f>
        <v>3.9932067676229227E-2</v>
      </c>
    </row>
    <row r="27" spans="2:19" x14ac:dyDescent="0.2">
      <c r="M27" s="57">
        <f>RATE(36,-9000,280000-50000,-5000)*12</f>
        <v>0.24592429594137494</v>
      </c>
    </row>
    <row r="29" spans="2:19" ht="20.25" x14ac:dyDescent="0.3">
      <c r="B29" s="44" t="s">
        <v>8</v>
      </c>
      <c r="C29" s="45">
        <f>RATE(36,-6999,220000,-1000)*12</f>
        <v>9.2659326511166318E-2</v>
      </c>
      <c r="E29" s="52">
        <f>RATE(36,-7000,300000-80000,-1000)*12</f>
        <v>9.275641291426906E-2</v>
      </c>
    </row>
    <row r="30" spans="2:19" ht="20.25" x14ac:dyDescent="0.3">
      <c r="B30" s="44" t="s">
        <v>14</v>
      </c>
      <c r="C30" s="46">
        <f>RATE(48,-5000,230000,-10000)*12</f>
        <v>3.9932067676229227E-2</v>
      </c>
      <c r="E30" s="52">
        <f>RATE(48,-5000,300000-70000,-10000)*12</f>
        <v>3.9932067676229227E-2</v>
      </c>
    </row>
    <row r="32" spans="2:19" ht="13.5" thickBot="1" x14ac:dyDescent="0.25"/>
    <row r="33" spans="2:10" ht="112.5" customHeight="1" thickBot="1" x14ac:dyDescent="0.25">
      <c r="B33" s="83" t="s">
        <v>68</v>
      </c>
      <c r="C33" s="84"/>
      <c r="D33" s="84"/>
      <c r="E33" s="84"/>
      <c r="F33" s="84"/>
      <c r="G33" s="84"/>
      <c r="H33" s="84"/>
      <c r="I33" s="84"/>
      <c r="J33" s="85"/>
    </row>
    <row r="35" spans="2:10" x14ac:dyDescent="0.2">
      <c r="B35" t="s">
        <v>8</v>
      </c>
      <c r="C35" s="48">
        <f>RATE(3,-35000*12,1000000,-1000)</f>
        <v>0.12550726887024424</v>
      </c>
      <c r="E35" s="1">
        <f>RATE(36,-35000,1000000,-1000)*12</f>
        <v>0.15726017127379224</v>
      </c>
    </row>
    <row r="36" spans="2:10" x14ac:dyDescent="0.2">
      <c r="B36" t="s">
        <v>14</v>
      </c>
      <c r="C36" s="48">
        <f>RATE(4,-26000*12,1200000,-10000)</f>
        <v>1.9059627160997586E-2</v>
      </c>
      <c r="E36" s="1">
        <f>RATE(48,-26000,1200000,-10000)*12</f>
        <v>2.314218384111915E-2</v>
      </c>
    </row>
  </sheetData>
  <mergeCells count="4">
    <mergeCell ref="B4:J4"/>
    <mergeCell ref="B26:J26"/>
    <mergeCell ref="B12:J12"/>
    <mergeCell ref="B33:J33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62"/>
  <sheetViews>
    <sheetView topLeftCell="A23" zoomScale="145" zoomScaleNormal="145" workbookViewId="0">
      <selection activeCell="C62" sqref="C62"/>
    </sheetView>
  </sheetViews>
  <sheetFormatPr defaultRowHeight="12.75" x14ac:dyDescent="0.2"/>
  <cols>
    <col min="2" max="3" width="22" customWidth="1"/>
    <col min="5" max="5" width="11.5703125" bestFit="1" customWidth="1"/>
    <col min="6" max="6" width="22.5703125" customWidth="1"/>
    <col min="9" max="10" width="12.5703125" bestFit="1" customWidth="1"/>
    <col min="11" max="11" width="13.7109375" bestFit="1" customWidth="1"/>
  </cols>
  <sheetData>
    <row r="2" spans="2:10" x14ac:dyDescent="0.2">
      <c r="B2" s="20" t="s">
        <v>26</v>
      </c>
    </row>
    <row r="3" spans="2:10" ht="13.5" thickBot="1" x14ac:dyDescent="0.25">
      <c r="B3" s="20"/>
    </row>
    <row r="4" spans="2:10" ht="30.75" customHeight="1" thickBot="1" x14ac:dyDescent="0.25">
      <c r="B4" s="83" t="s">
        <v>27</v>
      </c>
      <c r="C4" s="84"/>
      <c r="D4" s="84"/>
      <c r="E4" s="84"/>
      <c r="F4" s="84"/>
      <c r="G4" s="84"/>
      <c r="H4" s="84"/>
      <c r="I4" s="84"/>
      <c r="J4" s="85"/>
    </row>
    <row r="5" spans="2:10" ht="13.5" thickBot="1" x14ac:dyDescent="0.25">
      <c r="B5" s="20"/>
    </row>
    <row r="6" spans="2:10" x14ac:dyDescent="0.2">
      <c r="B6" s="4" t="s">
        <v>79</v>
      </c>
      <c r="C6" s="62">
        <f>16%/12</f>
        <v>1.3333333333333334E-2</v>
      </c>
      <c r="F6" s="54">
        <f>PMT(1.33%,24,20000)</f>
        <v>-978.880006104225</v>
      </c>
    </row>
    <row r="7" spans="2:10" x14ac:dyDescent="0.2">
      <c r="B7" s="7" t="s">
        <v>20</v>
      </c>
      <c r="C7" s="25">
        <v>20000</v>
      </c>
    </row>
    <row r="8" spans="2:10" ht="13.5" thickBot="1" x14ac:dyDescent="0.25">
      <c r="B8" s="10" t="s">
        <v>30</v>
      </c>
      <c r="C8" s="25">
        <v>24</v>
      </c>
      <c r="F8" s="2">
        <f>F6*C8</f>
        <v>-23493.120146501402</v>
      </c>
    </row>
    <row r="9" spans="2:10" ht="13.5" thickBot="1" x14ac:dyDescent="0.25"/>
    <row r="10" spans="2:10" ht="13.5" thickBot="1" x14ac:dyDescent="0.25">
      <c r="B10" s="17" t="s">
        <v>21</v>
      </c>
      <c r="C10" s="27">
        <f>PMT(16%/12,24,C7)</f>
        <v>-979.26221035220101</v>
      </c>
      <c r="E10" t="s">
        <v>66</v>
      </c>
      <c r="F10" s="2">
        <f>C10*C8</f>
        <v>-23502.293048452826</v>
      </c>
      <c r="I10" s="54">
        <f>PMT(16%/12,24,20000)</f>
        <v>-979.26221035220101</v>
      </c>
      <c r="J10" s="2">
        <f>I10*C8</f>
        <v>-23502.293048452826</v>
      </c>
    </row>
    <row r="12" spans="2:10" x14ac:dyDescent="0.2">
      <c r="B12" s="20"/>
    </row>
    <row r="13" spans="2:10" x14ac:dyDescent="0.2">
      <c r="B13" s="20" t="s">
        <v>28</v>
      </c>
    </row>
    <row r="14" spans="2:10" ht="13.5" thickBot="1" x14ac:dyDescent="0.25">
      <c r="B14" s="21"/>
    </row>
    <row r="15" spans="2:10" ht="52.5" customHeight="1" thickBot="1" x14ac:dyDescent="0.25">
      <c r="B15" s="83" t="s">
        <v>29</v>
      </c>
      <c r="C15" s="84"/>
      <c r="D15" s="84"/>
      <c r="E15" s="84"/>
      <c r="F15" s="84"/>
      <c r="G15" s="84"/>
      <c r="H15" s="84"/>
      <c r="I15" s="84"/>
      <c r="J15" s="85"/>
    </row>
    <row r="16" spans="2:10" x14ac:dyDescent="0.2">
      <c r="B16" s="21"/>
    </row>
    <row r="17" spans="2:11" ht="13.5" thickBot="1" x14ac:dyDescent="0.25">
      <c r="B17" s="22" t="s">
        <v>1</v>
      </c>
    </row>
    <row r="18" spans="2:11" x14ac:dyDescent="0.2">
      <c r="B18" s="4" t="s">
        <v>19</v>
      </c>
      <c r="C18" s="47">
        <v>0.03</v>
      </c>
      <c r="F18" s="54">
        <f>PMT(3%/12,20*12,0,1000000)</f>
        <v>-3045.9759785391207</v>
      </c>
    </row>
    <row r="19" spans="2:11" x14ac:dyDescent="0.2">
      <c r="B19" s="7" t="s">
        <v>33</v>
      </c>
      <c r="C19" s="25">
        <v>1000000</v>
      </c>
    </row>
    <row r="20" spans="2:11" ht="13.5" thickBot="1" x14ac:dyDescent="0.25">
      <c r="B20" s="10" t="s">
        <v>32</v>
      </c>
      <c r="C20" s="25">
        <v>20</v>
      </c>
      <c r="F20" s="2">
        <f>20*12*F18</f>
        <v>-731034.23484938894</v>
      </c>
    </row>
    <row r="21" spans="2:11" ht="13.5" thickBot="1" x14ac:dyDescent="0.25">
      <c r="E21" s="2"/>
    </row>
    <row r="22" spans="2:11" ht="13.5" thickBot="1" x14ac:dyDescent="0.25">
      <c r="B22" s="17" t="s">
        <v>21</v>
      </c>
      <c r="C22" s="27">
        <f>PMT(C18,C20,,C19)/12</f>
        <v>-3101.3089664049271</v>
      </c>
      <c r="E22" t="s">
        <v>67</v>
      </c>
      <c r="F22" s="2">
        <f>C22*12*20</f>
        <v>-744314.15193718253</v>
      </c>
      <c r="I22" s="54">
        <f>PMT(3%,20,0,1000000)/12</f>
        <v>-3101.3089664049271</v>
      </c>
      <c r="K22" s="2">
        <f>I22*12*20</f>
        <v>-744314.15193718253</v>
      </c>
    </row>
    <row r="24" spans="2:11" x14ac:dyDescent="0.2">
      <c r="B24" s="3" t="s">
        <v>34</v>
      </c>
    </row>
    <row r="26" spans="2:11" x14ac:dyDescent="0.2">
      <c r="B26" s="20" t="s">
        <v>37</v>
      </c>
    </row>
    <row r="28" spans="2:11" x14ac:dyDescent="0.2">
      <c r="B28" s="20" t="s">
        <v>35</v>
      </c>
    </row>
    <row r="29" spans="2:11" ht="13.5" thickBot="1" x14ac:dyDescent="0.25">
      <c r="B29" s="13"/>
    </row>
    <row r="30" spans="2:11" x14ac:dyDescent="0.2">
      <c r="B30" s="15" t="s">
        <v>36</v>
      </c>
      <c r="C30" s="25">
        <v>300000</v>
      </c>
    </row>
    <row r="31" spans="2:11" x14ac:dyDescent="0.2">
      <c r="B31" s="23" t="s">
        <v>38</v>
      </c>
      <c r="C31" s="25">
        <v>100000</v>
      </c>
    </row>
    <row r="32" spans="2:11" x14ac:dyDescent="0.2">
      <c r="B32" s="23" t="s">
        <v>39</v>
      </c>
      <c r="C32" s="25">
        <v>36</v>
      </c>
    </row>
    <row r="33" spans="2:8" x14ac:dyDescent="0.2">
      <c r="B33" s="23" t="s">
        <v>40</v>
      </c>
      <c r="C33" s="25">
        <v>80000</v>
      </c>
    </row>
    <row r="34" spans="2:8" ht="13.5" thickBot="1" x14ac:dyDescent="0.25">
      <c r="B34" s="19" t="s">
        <v>41</v>
      </c>
      <c r="C34" s="26">
        <v>0.13</v>
      </c>
    </row>
    <row r="37" spans="2:8" x14ac:dyDescent="0.2">
      <c r="B37" s="3" t="s">
        <v>42</v>
      </c>
    </row>
    <row r="38" spans="2:8" x14ac:dyDescent="0.2">
      <c r="B38" s="20" t="s">
        <v>1</v>
      </c>
    </row>
    <row r="39" spans="2:8" x14ac:dyDescent="0.2">
      <c r="C39" s="27">
        <f>PMT(C34,3,300000-C31,-80000)/12</f>
        <v>-5101.8863678613006</v>
      </c>
      <c r="E39" s="3"/>
      <c r="F39" s="3"/>
    </row>
    <row r="41" spans="2:8" x14ac:dyDescent="0.2">
      <c r="B41" s="3" t="s">
        <v>43</v>
      </c>
    </row>
    <row r="42" spans="2:8" x14ac:dyDescent="0.2">
      <c r="B42" s="20" t="s">
        <v>1</v>
      </c>
      <c r="C42" s="27">
        <f>PMT(C34,3,C30-C31)/12</f>
        <v>-7058.6995019910573</v>
      </c>
      <c r="E42" s="86"/>
      <c r="F42" s="86"/>
      <c r="G42" s="86"/>
      <c r="H42" s="86"/>
    </row>
    <row r="43" spans="2:8" x14ac:dyDescent="0.2">
      <c r="B43" t="s">
        <v>1</v>
      </c>
    </row>
    <row r="45" spans="2:8" x14ac:dyDescent="0.2">
      <c r="B45" t="s">
        <v>69</v>
      </c>
    </row>
    <row r="46" spans="2:8" ht="13.5" thickBot="1" x14ac:dyDescent="0.25">
      <c r="B46" s="20" t="s">
        <v>1</v>
      </c>
    </row>
    <row r="47" spans="2:8" x14ac:dyDescent="0.2">
      <c r="B47" s="4" t="s">
        <v>19</v>
      </c>
      <c r="C47" s="49">
        <v>2.1000000000000001E-2</v>
      </c>
    </row>
    <row r="48" spans="2:8" x14ac:dyDescent="0.2">
      <c r="B48" s="7" t="s">
        <v>33</v>
      </c>
      <c r="C48" s="25">
        <v>1600000</v>
      </c>
    </row>
    <row r="49" spans="2:6" ht="13.5" thickBot="1" x14ac:dyDescent="0.25">
      <c r="B49" s="10" t="s">
        <v>32</v>
      </c>
      <c r="C49" s="25">
        <v>30</v>
      </c>
    </row>
    <row r="50" spans="2:6" ht="13.5" thickBot="1" x14ac:dyDescent="0.25">
      <c r="E50" s="2"/>
    </row>
    <row r="51" spans="2:6" ht="13.5" thickBot="1" x14ac:dyDescent="0.25">
      <c r="B51" s="17" t="s">
        <v>21</v>
      </c>
      <c r="C51" s="27">
        <f>PMT(C47,C49,,C48)/12</f>
        <v>-3235.4933756581145</v>
      </c>
      <c r="E51" t="s">
        <v>67</v>
      </c>
      <c r="F51" s="2">
        <f>C51*12*30</f>
        <v>-1164777.6152369212</v>
      </c>
    </row>
    <row r="54" spans="2:6" x14ac:dyDescent="0.2">
      <c r="B54" t="s">
        <v>74</v>
      </c>
    </row>
    <row r="56" spans="2:6" x14ac:dyDescent="0.2">
      <c r="B56" s="54">
        <f>PMT(4.8%,10,,720000)/12</f>
        <v>-4814.985373114484</v>
      </c>
    </row>
    <row r="60" spans="2:6" x14ac:dyDescent="0.2">
      <c r="B60" t="s">
        <v>80</v>
      </c>
    </row>
    <row r="62" spans="2:6" x14ac:dyDescent="0.2">
      <c r="B62" s="54">
        <f>PMT(4.5%/12,5*12,-2000,250000)</f>
        <v>-3685.9687718961295</v>
      </c>
    </row>
  </sheetData>
  <mergeCells count="3">
    <mergeCell ref="B4:J4"/>
    <mergeCell ref="B15:J15"/>
    <mergeCell ref="E42:H42"/>
  </mergeCells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5"/>
  <sheetViews>
    <sheetView tabSelected="1" topLeftCell="B18" zoomScale="160" zoomScaleNormal="160" workbookViewId="0">
      <selection activeCell="I27" sqref="I27"/>
    </sheetView>
  </sheetViews>
  <sheetFormatPr defaultRowHeight="12.75" x14ac:dyDescent="0.2"/>
  <cols>
    <col min="3" max="3" width="14.140625" bestFit="1" customWidth="1"/>
    <col min="4" max="6" width="12.5703125" bestFit="1" customWidth="1"/>
    <col min="8" max="8" width="12.5703125" bestFit="1" customWidth="1"/>
    <col min="10" max="10" width="9.140625" customWidth="1"/>
    <col min="11" max="11" width="15.28515625" customWidth="1"/>
    <col min="12" max="12" width="13.7109375" bestFit="1" customWidth="1"/>
    <col min="13" max="13" width="15.28515625" bestFit="1" customWidth="1"/>
  </cols>
  <sheetData>
    <row r="1" spans="1:13" x14ac:dyDescent="0.2">
      <c r="A1" t="s">
        <v>1</v>
      </c>
      <c r="B1" s="3" t="s">
        <v>24</v>
      </c>
    </row>
    <row r="2" spans="1:13" x14ac:dyDescent="0.2">
      <c r="B2" s="3" t="s">
        <v>25</v>
      </c>
    </row>
    <row r="3" spans="1:13" ht="13.5" thickBot="1" x14ac:dyDescent="0.25">
      <c r="A3" t="s">
        <v>23</v>
      </c>
      <c r="B3" t="s">
        <v>1</v>
      </c>
      <c r="C3" t="s">
        <v>1</v>
      </c>
    </row>
    <row r="4" spans="1:13" x14ac:dyDescent="0.2">
      <c r="A4" t="s">
        <v>1</v>
      </c>
      <c r="B4" s="4" t="s">
        <v>9</v>
      </c>
      <c r="C4" s="25">
        <v>5</v>
      </c>
      <c r="D4" t="s">
        <v>1</v>
      </c>
    </row>
    <row r="5" spans="1:13" x14ac:dyDescent="0.2">
      <c r="A5" t="s">
        <v>1</v>
      </c>
      <c r="B5" s="7" t="s">
        <v>10</v>
      </c>
      <c r="C5" s="25">
        <v>100000</v>
      </c>
    </row>
    <row r="6" spans="1:13" ht="13.5" thickBot="1" x14ac:dyDescent="0.25">
      <c r="A6" t="s">
        <v>1</v>
      </c>
      <c r="B6" s="10" t="s">
        <v>11</v>
      </c>
      <c r="C6" s="26">
        <v>0.12</v>
      </c>
    </row>
    <row r="8" spans="1:13" ht="13.5" thickBot="1" x14ac:dyDescent="0.25"/>
    <row r="9" spans="1:13" ht="13.5" thickBot="1" x14ac:dyDescent="0.25">
      <c r="B9" s="18" t="s">
        <v>12</v>
      </c>
      <c r="C9" s="31" t="s">
        <v>5</v>
      </c>
      <c r="D9" s="18" t="s">
        <v>13</v>
      </c>
      <c r="E9" s="32" t="s">
        <v>2</v>
      </c>
      <c r="H9" s="2"/>
      <c r="J9" s="18" t="s">
        <v>12</v>
      </c>
      <c r="K9" s="31" t="s">
        <v>5</v>
      </c>
      <c r="L9" s="18" t="s">
        <v>13</v>
      </c>
      <c r="M9" s="32" t="s">
        <v>2</v>
      </c>
    </row>
    <row r="10" spans="1:13" x14ac:dyDescent="0.2">
      <c r="A10" t="s">
        <v>1</v>
      </c>
      <c r="B10" s="14">
        <v>1</v>
      </c>
      <c r="C10" s="50">
        <f>PMT($C$6,$C$4,$C$5)</f>
        <v>-27740.973194104892</v>
      </c>
      <c r="D10" s="28">
        <f>PPMT($C$6,B10,$C$4,$C$5)</f>
        <v>-15740.973194104889</v>
      </c>
      <c r="E10" s="28">
        <f>IPMT($C$6,B10,$C$4,$C$5)</f>
        <v>-12000</v>
      </c>
      <c r="H10" s="2"/>
      <c r="J10" s="14">
        <v>1</v>
      </c>
      <c r="K10" s="50">
        <f>PMT(12%,5,100000)</f>
        <v>-27740.973194104892</v>
      </c>
      <c r="L10" s="28">
        <f>PPMT(12%,J10,5,100000)</f>
        <v>-15740.973194104889</v>
      </c>
      <c r="M10" s="28">
        <f>IPMT(12%,J10,5,100000)</f>
        <v>-12000</v>
      </c>
    </row>
    <row r="11" spans="1:13" x14ac:dyDescent="0.2">
      <c r="A11" t="s">
        <v>1</v>
      </c>
      <c r="B11" s="14">
        <v>2</v>
      </c>
      <c r="C11" s="50">
        <f t="shared" ref="C11:C14" si="0">PMT($C$6,$C$4,$C$5)</f>
        <v>-27740.973194104892</v>
      </c>
      <c r="D11" s="28">
        <f t="shared" ref="D11:D14" si="1">PPMT($C$6,B11,$C$4,$C$5)</f>
        <v>-17629.889977397477</v>
      </c>
      <c r="E11" s="28">
        <f t="shared" ref="E11:E14" si="2">IPMT($C$6,B11,$C$4,$C$5)</f>
        <v>-10111.083216707413</v>
      </c>
      <c r="H11" s="2"/>
      <c r="J11" s="14">
        <v>2</v>
      </c>
      <c r="K11" s="50">
        <f t="shared" ref="K11:K14" si="3">PMT(12%,5,100000)</f>
        <v>-27740.973194104892</v>
      </c>
      <c r="L11" s="28">
        <f t="shared" ref="L11:L14" si="4">PPMT(12%,J11,5,100000)</f>
        <v>-17629.889977397477</v>
      </c>
      <c r="M11" s="28">
        <f t="shared" ref="M11:M14" si="5">IPMT(12%,J11,5,100000)</f>
        <v>-10111.083216707413</v>
      </c>
    </row>
    <row r="12" spans="1:13" x14ac:dyDescent="0.2">
      <c r="A12" t="s">
        <v>1</v>
      </c>
      <c r="B12" s="14">
        <v>3</v>
      </c>
      <c r="C12" s="50">
        <f t="shared" si="0"/>
        <v>-27740.973194104892</v>
      </c>
      <c r="D12" s="28">
        <f t="shared" si="1"/>
        <v>-19745.476774685172</v>
      </c>
      <c r="E12" s="28">
        <f t="shared" si="2"/>
        <v>-7995.4964194197173</v>
      </c>
      <c r="J12" s="14">
        <v>3</v>
      </c>
      <c r="K12" s="50">
        <f t="shared" si="3"/>
        <v>-27740.973194104892</v>
      </c>
      <c r="L12" s="28">
        <f t="shared" si="4"/>
        <v>-19745.476774685172</v>
      </c>
      <c r="M12" s="28">
        <f t="shared" si="5"/>
        <v>-7995.4964194197173</v>
      </c>
    </row>
    <row r="13" spans="1:13" x14ac:dyDescent="0.2">
      <c r="A13" t="s">
        <v>1</v>
      </c>
      <c r="B13" s="14">
        <v>4</v>
      </c>
      <c r="C13" s="50">
        <f t="shared" si="0"/>
        <v>-27740.973194104892</v>
      </c>
      <c r="D13" s="28">
        <f t="shared" si="1"/>
        <v>-22114.933987647397</v>
      </c>
      <c r="E13" s="28">
        <f t="shared" si="2"/>
        <v>-5626.0392064574962</v>
      </c>
      <c r="G13" s="13"/>
      <c r="J13" s="14">
        <v>4</v>
      </c>
      <c r="K13" s="50">
        <f t="shared" si="3"/>
        <v>-27740.973194104892</v>
      </c>
      <c r="L13" s="28">
        <f t="shared" si="4"/>
        <v>-22114.933987647397</v>
      </c>
      <c r="M13" s="28">
        <f t="shared" si="5"/>
        <v>-5626.0392064574962</v>
      </c>
    </row>
    <row r="14" spans="1:13" ht="13.5" thickBot="1" x14ac:dyDescent="0.25">
      <c r="A14" t="s">
        <v>1</v>
      </c>
      <c r="B14" s="16">
        <v>5</v>
      </c>
      <c r="C14" s="50">
        <f t="shared" si="0"/>
        <v>-27740.973194104892</v>
      </c>
      <c r="D14" s="28">
        <f t="shared" si="1"/>
        <v>-24768.726066165083</v>
      </c>
      <c r="E14" s="28">
        <f t="shared" si="2"/>
        <v>-2972.2471279398096</v>
      </c>
      <c r="G14" s="13"/>
      <c r="J14" s="16">
        <v>5</v>
      </c>
      <c r="K14" s="50">
        <f t="shared" si="3"/>
        <v>-27740.973194104892</v>
      </c>
      <c r="L14" s="28">
        <f t="shared" si="4"/>
        <v>-24768.726066165083</v>
      </c>
      <c r="M14" s="28">
        <f t="shared" si="5"/>
        <v>-2972.2471279398096</v>
      </c>
    </row>
    <row r="15" spans="1:13" x14ac:dyDescent="0.2">
      <c r="C15" s="30">
        <f>SUM(C10:C14)</f>
        <v>-138704.86597052446</v>
      </c>
      <c r="D15" s="30">
        <f>SUM(D10:D14)</f>
        <v>-100000.00000000001</v>
      </c>
      <c r="E15" s="30">
        <f>SUM(E10:E14)</f>
        <v>-38704.865970524435</v>
      </c>
      <c r="K15" s="30">
        <f>SUM(K10:K14)</f>
        <v>-138704.86597052446</v>
      </c>
      <c r="L15" s="30">
        <f>SUM(L10:L14)</f>
        <v>-100000.00000000001</v>
      </c>
      <c r="M15" s="30">
        <f>SUM(M10:M14)</f>
        <v>-38704.865970524435</v>
      </c>
    </row>
    <row r="16" spans="1:13" x14ac:dyDescent="0.2">
      <c r="D16" s="30"/>
      <c r="E16" s="30"/>
      <c r="F16" s="30"/>
      <c r="L16">
        <f>K19/12</f>
        <v>-6686.8822658909439</v>
      </c>
    </row>
    <row r="17" spans="2:13" x14ac:dyDescent="0.2">
      <c r="B17" s="3" t="s">
        <v>44</v>
      </c>
    </row>
    <row r="18" spans="2:13" ht="15.75" x14ac:dyDescent="0.25">
      <c r="J18" s="24"/>
      <c r="K18" s="33" t="s">
        <v>5</v>
      </c>
      <c r="L18" s="33" t="s">
        <v>11</v>
      </c>
      <c r="M18" s="33" t="s">
        <v>13</v>
      </c>
    </row>
    <row r="19" spans="2:13" x14ac:dyDescent="0.2">
      <c r="B19" s="3" t="s">
        <v>45</v>
      </c>
      <c r="J19" s="24">
        <v>1</v>
      </c>
      <c r="K19" s="29">
        <f>PMT(5%,20,$F$22)</f>
        <v>-80242.587190691323</v>
      </c>
      <c r="L19" s="29">
        <f>IPMT(5%,J19,20,$F$22)</f>
        <v>-50000</v>
      </c>
      <c r="M19" s="29">
        <f>PPMT(5%,J19,20,$F$22)</f>
        <v>-30242.587190691313</v>
      </c>
    </row>
    <row r="20" spans="2:13" ht="13.5" thickBot="1" x14ac:dyDescent="0.25">
      <c r="J20" s="24">
        <v>2</v>
      </c>
      <c r="K20" s="29">
        <f t="shared" ref="K20:K38" si="6">PMT(5%,20,$F$22)</f>
        <v>-80242.587190691323</v>
      </c>
      <c r="L20" s="29">
        <f t="shared" ref="L20:L38" si="7">IPMT(5%,J20,20,$F$22)</f>
        <v>-48487.870640465437</v>
      </c>
      <c r="M20" s="29">
        <f t="shared" ref="M20:M38" si="8">PPMT(5%,J20,20,$F$22)</f>
        <v>-31754.716550225876</v>
      </c>
    </row>
    <row r="21" spans="2:13" x14ac:dyDescent="0.2">
      <c r="C21" s="4"/>
      <c r="D21" s="5"/>
      <c r="E21" s="5"/>
      <c r="F21" s="5"/>
      <c r="G21" s="6"/>
      <c r="J21" s="24">
        <v>3</v>
      </c>
      <c r="K21" s="29">
        <f t="shared" si="6"/>
        <v>-80242.587190691323</v>
      </c>
      <c r="L21" s="29">
        <f t="shared" si="7"/>
        <v>-46900.134812954144</v>
      </c>
      <c r="M21" s="29">
        <f t="shared" si="8"/>
        <v>-33342.452377737172</v>
      </c>
    </row>
    <row r="22" spans="2:13" x14ac:dyDescent="0.2">
      <c r="C22" s="7" t="s">
        <v>15</v>
      </c>
      <c r="F22" s="25">
        <v>1000000</v>
      </c>
      <c r="G22" s="8"/>
      <c r="J22" s="24">
        <v>4</v>
      </c>
      <c r="K22" s="29">
        <f t="shared" si="6"/>
        <v>-80242.587190691323</v>
      </c>
      <c r="L22" s="29">
        <f t="shared" si="7"/>
        <v>-45233.012194067283</v>
      </c>
      <c r="M22" s="29">
        <f t="shared" si="8"/>
        <v>-35009.574996624033</v>
      </c>
    </row>
    <row r="23" spans="2:13" x14ac:dyDescent="0.2">
      <c r="C23" s="7" t="s">
        <v>7</v>
      </c>
      <c r="F23" s="25">
        <v>20</v>
      </c>
      <c r="G23" s="8"/>
      <c r="J23" s="24">
        <v>5</v>
      </c>
      <c r="K23" s="29">
        <f t="shared" si="6"/>
        <v>-80242.587190691323</v>
      </c>
      <c r="L23" s="29">
        <f t="shared" si="7"/>
        <v>-43482.533444236076</v>
      </c>
      <c r="M23" s="29">
        <f t="shared" si="8"/>
        <v>-36760.053746455233</v>
      </c>
    </row>
    <row r="24" spans="2:13" x14ac:dyDescent="0.2">
      <c r="C24" s="7" t="s">
        <v>2</v>
      </c>
      <c r="F24" s="26">
        <v>0.05</v>
      </c>
      <c r="G24" s="8"/>
      <c r="J24" s="24">
        <v>6</v>
      </c>
      <c r="K24" s="29">
        <f t="shared" si="6"/>
        <v>-80242.587190691323</v>
      </c>
      <c r="L24" s="29">
        <f t="shared" si="7"/>
        <v>-41644.530756913322</v>
      </c>
      <c r="M24" s="29">
        <f t="shared" si="8"/>
        <v>-38598.056433777994</v>
      </c>
    </row>
    <row r="25" spans="2:13" x14ac:dyDescent="0.2">
      <c r="C25" s="7" t="s">
        <v>16</v>
      </c>
      <c r="F25" s="25">
        <v>2</v>
      </c>
      <c r="G25" s="8"/>
      <c r="J25" s="24">
        <v>7</v>
      </c>
      <c r="K25" s="29">
        <f t="shared" si="6"/>
        <v>-80242.587190691323</v>
      </c>
      <c r="L25" s="29">
        <f t="shared" si="7"/>
        <v>-39714.627935224416</v>
      </c>
      <c r="M25" s="29">
        <f t="shared" si="8"/>
        <v>-40527.9592554669</v>
      </c>
    </row>
    <row r="26" spans="2:13" x14ac:dyDescent="0.2">
      <c r="C26" s="7"/>
      <c r="G26" s="8"/>
      <c r="J26" s="24">
        <v>8</v>
      </c>
      <c r="K26" s="29">
        <f t="shared" si="6"/>
        <v>-80242.587190691323</v>
      </c>
      <c r="L26" s="29">
        <f t="shared" si="7"/>
        <v>-37688.229972451074</v>
      </c>
      <c r="M26" s="29">
        <f t="shared" si="8"/>
        <v>-42554.357218240242</v>
      </c>
    </row>
    <row r="27" spans="2:13" x14ac:dyDescent="0.2">
      <c r="C27" s="7"/>
      <c r="G27" s="8"/>
      <c r="J27" s="24">
        <v>9</v>
      </c>
      <c r="K27" s="29">
        <f t="shared" si="6"/>
        <v>-80242.587190691323</v>
      </c>
      <c r="L27" s="29">
        <f t="shared" si="7"/>
        <v>-35560.51211153905</v>
      </c>
      <c r="M27" s="29">
        <f t="shared" si="8"/>
        <v>-44682.075079152259</v>
      </c>
    </row>
    <row r="28" spans="2:13" x14ac:dyDescent="0.2">
      <c r="C28" s="7" t="s">
        <v>17</v>
      </c>
      <c r="D28" s="9">
        <f>+F25</f>
        <v>2</v>
      </c>
      <c r="E28" t="s">
        <v>18</v>
      </c>
      <c r="F28" s="29">
        <f>IPMT(F24,F25,F23,F22)</f>
        <v>-48487.870640465437</v>
      </c>
      <c r="G28" s="8"/>
      <c r="J28" s="24">
        <v>10</v>
      </c>
      <c r="K28" s="29">
        <f t="shared" si="6"/>
        <v>-80242.587190691323</v>
      </c>
      <c r="L28" s="29">
        <f t="shared" si="7"/>
        <v>-33326.408357581451</v>
      </c>
      <c r="M28" s="29">
        <f t="shared" si="8"/>
        <v>-46916.178833109865</v>
      </c>
    </row>
    <row r="29" spans="2:13" x14ac:dyDescent="0.2">
      <c r="C29" s="34" t="s">
        <v>60</v>
      </c>
      <c r="F29" s="29">
        <f>PMT(F24,F23,F22)/12</f>
        <v>-6686.8822658909439</v>
      </c>
      <c r="G29" s="8"/>
      <c r="J29" s="24">
        <v>11</v>
      </c>
      <c r="K29" s="29">
        <f t="shared" si="6"/>
        <v>-80242.587190691323</v>
      </c>
      <c r="L29" s="29">
        <f t="shared" si="7"/>
        <v>-30980.599415925957</v>
      </c>
      <c r="M29" s="29">
        <f t="shared" si="8"/>
        <v>-49261.987774765366</v>
      </c>
    </row>
    <row r="30" spans="2:13" x14ac:dyDescent="0.2">
      <c r="C30" s="7"/>
      <c r="G30" s="8"/>
      <c r="J30" s="24">
        <v>12</v>
      </c>
      <c r="K30" s="29">
        <f t="shared" si="6"/>
        <v>-80242.587190691323</v>
      </c>
      <c r="L30" s="29">
        <f t="shared" si="7"/>
        <v>-28517.500027187682</v>
      </c>
      <c r="M30" s="29">
        <f t="shared" si="8"/>
        <v>-51725.087163503631</v>
      </c>
    </row>
    <row r="31" spans="2:13" ht="13.5" thickBot="1" x14ac:dyDescent="0.25">
      <c r="C31" s="10"/>
      <c r="D31" s="11"/>
      <c r="E31" s="11"/>
      <c r="F31" s="11"/>
      <c r="G31" s="12"/>
      <c r="J31" s="24">
        <v>13</v>
      </c>
      <c r="K31" s="29">
        <f t="shared" si="6"/>
        <v>-80242.587190691323</v>
      </c>
      <c r="L31" s="29">
        <f t="shared" si="7"/>
        <v>-25931.2456690125</v>
      </c>
      <c r="M31" s="29">
        <f t="shared" si="8"/>
        <v>-54311.341521678813</v>
      </c>
    </row>
    <row r="32" spans="2:13" x14ac:dyDescent="0.2">
      <c r="J32" s="24">
        <v>14</v>
      </c>
      <c r="K32" s="29">
        <f t="shared" si="6"/>
        <v>-80242.587190691323</v>
      </c>
      <c r="L32" s="29">
        <f t="shared" si="7"/>
        <v>-23215.678592928562</v>
      </c>
      <c r="M32" s="29">
        <f t="shared" si="8"/>
        <v>-57026.908597762747</v>
      </c>
    </row>
    <row r="33" spans="3:13" x14ac:dyDescent="0.2">
      <c r="J33" s="24">
        <v>15</v>
      </c>
      <c r="K33" s="29">
        <f t="shared" si="6"/>
        <v>-80242.587190691323</v>
      </c>
      <c r="L33" s="29">
        <f t="shared" si="7"/>
        <v>-20364.333163040421</v>
      </c>
      <c r="M33" s="29">
        <f t="shared" si="8"/>
        <v>-59878.254027650895</v>
      </c>
    </row>
    <row r="34" spans="3:13" ht="15.75" x14ac:dyDescent="0.25">
      <c r="C34" s="24"/>
      <c r="D34" s="33" t="s">
        <v>5</v>
      </c>
      <c r="E34" s="33" t="s">
        <v>11</v>
      </c>
      <c r="F34" s="33" t="s">
        <v>13</v>
      </c>
      <c r="J34" s="24">
        <v>16</v>
      </c>
      <c r="K34" s="29">
        <f t="shared" si="6"/>
        <v>-80242.587190691323</v>
      </c>
      <c r="L34" s="29">
        <f t="shared" si="7"/>
        <v>-17370.420461657875</v>
      </c>
      <c r="M34" s="29">
        <f t="shared" si="8"/>
        <v>-62872.166729033437</v>
      </c>
    </row>
    <row r="35" spans="3:13" x14ac:dyDescent="0.2">
      <c r="C35" s="24">
        <v>1</v>
      </c>
      <c r="D35" s="29">
        <f>PMT(5%,20,1000000)</f>
        <v>-80242.587190691323</v>
      </c>
      <c r="E35" s="29">
        <f>IPMT(5%,C35,20,1000000)</f>
        <v>-50000</v>
      </c>
      <c r="F35" s="29">
        <f>PPMT(5%,C35,20,1000000)</f>
        <v>-30242.587190691313</v>
      </c>
      <c r="J35" s="24">
        <v>17</v>
      </c>
      <c r="K35" s="29">
        <f t="shared" si="6"/>
        <v>-80242.587190691323</v>
      </c>
      <c r="L35" s="29">
        <f t="shared" si="7"/>
        <v>-14226.812125206205</v>
      </c>
      <c r="M35" s="29">
        <f t="shared" si="8"/>
        <v>-66015.775065485112</v>
      </c>
    </row>
    <row r="36" spans="3:13" x14ac:dyDescent="0.2">
      <c r="C36" s="24">
        <v>2</v>
      </c>
      <c r="D36" s="29">
        <f t="shared" ref="D36:D54" si="9">PMT(5%,20,1000000)</f>
        <v>-80242.587190691323</v>
      </c>
      <c r="E36" s="29">
        <f t="shared" ref="E36:E54" si="10">IPMT(5%,C36,20,1000000)</f>
        <v>-48487.870640465437</v>
      </c>
      <c r="F36" s="29">
        <f t="shared" ref="F36:F54" si="11">PPMT(5%,C36,20,1000000)</f>
        <v>-31754.716550225876</v>
      </c>
      <c r="J36" s="24">
        <v>18</v>
      </c>
      <c r="K36" s="29">
        <f t="shared" si="6"/>
        <v>-80242.587190691323</v>
      </c>
      <c r="L36" s="29">
        <f t="shared" si="7"/>
        <v>-10926.023371931948</v>
      </c>
      <c r="M36" s="29">
        <f t="shared" si="8"/>
        <v>-69316.563818759372</v>
      </c>
    </row>
    <row r="37" spans="3:13" x14ac:dyDescent="0.2">
      <c r="C37" s="24">
        <v>3</v>
      </c>
      <c r="D37" s="29">
        <f t="shared" si="9"/>
        <v>-80242.587190691323</v>
      </c>
      <c r="E37" s="29">
        <f t="shared" si="10"/>
        <v>-46900.134812954144</v>
      </c>
      <c r="F37" s="29">
        <f t="shared" si="11"/>
        <v>-33342.452377737172</v>
      </c>
      <c r="J37" s="24">
        <v>19</v>
      </c>
      <c r="K37" s="29">
        <f t="shared" si="6"/>
        <v>-80242.587190691323</v>
      </c>
      <c r="L37" s="29">
        <f t="shared" si="7"/>
        <v>-7460.1951809939783</v>
      </c>
      <c r="M37" s="29">
        <f t="shared" si="8"/>
        <v>-72782.392009697331</v>
      </c>
    </row>
    <row r="38" spans="3:13" x14ac:dyDescent="0.2">
      <c r="C38" s="24">
        <v>4</v>
      </c>
      <c r="D38" s="29">
        <f t="shared" si="9"/>
        <v>-80242.587190691323</v>
      </c>
      <c r="E38" s="29">
        <f t="shared" si="10"/>
        <v>-45233.012194067283</v>
      </c>
      <c r="F38" s="29">
        <f t="shared" si="11"/>
        <v>-35009.574996624033</v>
      </c>
      <c r="J38" s="24">
        <v>20</v>
      </c>
      <c r="K38" s="29">
        <f t="shared" si="6"/>
        <v>-80242.587190691323</v>
      </c>
      <c r="L38" s="29">
        <f t="shared" si="7"/>
        <v>-3821.0755805091112</v>
      </c>
      <c r="M38" s="29">
        <f t="shared" si="8"/>
        <v>-76421.511610182206</v>
      </c>
    </row>
    <row r="39" spans="3:13" x14ac:dyDescent="0.2">
      <c r="C39" s="24">
        <v>5</v>
      </c>
      <c r="D39" s="29">
        <f t="shared" si="9"/>
        <v>-80242.587190691323</v>
      </c>
      <c r="E39" s="29">
        <f t="shared" si="10"/>
        <v>-43482.533444236076</v>
      </c>
      <c r="F39" s="29">
        <f t="shared" si="11"/>
        <v>-36760.053746455233</v>
      </c>
      <c r="K39" s="51">
        <f>SUM(K19:K38)</f>
        <v>-1604851.7438138272</v>
      </c>
      <c r="L39" s="51">
        <f>SUM(L19:L38)</f>
        <v>-604851.7438138267</v>
      </c>
      <c r="M39" s="51">
        <f>SUM(M19:M38)</f>
        <v>-999999.99999999977</v>
      </c>
    </row>
    <row r="40" spans="3:13" x14ac:dyDescent="0.2">
      <c r="C40" s="24">
        <v>6</v>
      </c>
      <c r="D40" s="29">
        <f t="shared" si="9"/>
        <v>-80242.587190691323</v>
      </c>
      <c r="E40" s="29">
        <f t="shared" si="10"/>
        <v>-41644.530756913322</v>
      </c>
      <c r="F40" s="29">
        <f t="shared" si="11"/>
        <v>-38598.056433777994</v>
      </c>
      <c r="K40" s="2"/>
      <c r="L40" s="2"/>
      <c r="M40" s="2"/>
    </row>
    <row r="41" spans="3:13" x14ac:dyDescent="0.2">
      <c r="C41" s="24">
        <v>7</v>
      </c>
      <c r="D41" s="29">
        <f t="shared" si="9"/>
        <v>-80242.587190691323</v>
      </c>
      <c r="E41" s="29">
        <f t="shared" si="10"/>
        <v>-39714.627935224416</v>
      </c>
      <c r="F41" s="29">
        <f t="shared" si="11"/>
        <v>-40527.9592554669</v>
      </c>
    </row>
    <row r="42" spans="3:13" x14ac:dyDescent="0.2">
      <c r="C42" s="24">
        <v>8</v>
      </c>
      <c r="D42" s="29">
        <f t="shared" si="9"/>
        <v>-80242.587190691323</v>
      </c>
      <c r="E42" s="29">
        <f t="shared" si="10"/>
        <v>-37688.229972451074</v>
      </c>
      <c r="F42" s="29">
        <f t="shared" si="11"/>
        <v>-42554.357218240242</v>
      </c>
    </row>
    <row r="43" spans="3:13" x14ac:dyDescent="0.2">
      <c r="C43" s="24">
        <v>9</v>
      </c>
      <c r="D43" s="29">
        <f t="shared" si="9"/>
        <v>-80242.587190691323</v>
      </c>
      <c r="E43" s="29">
        <f t="shared" si="10"/>
        <v>-35560.51211153905</v>
      </c>
      <c r="F43" s="29">
        <f t="shared" si="11"/>
        <v>-44682.075079152259</v>
      </c>
    </row>
    <row r="44" spans="3:13" x14ac:dyDescent="0.2">
      <c r="C44" s="24">
        <v>10</v>
      </c>
      <c r="D44" s="29">
        <f t="shared" si="9"/>
        <v>-80242.587190691323</v>
      </c>
      <c r="E44" s="29">
        <f t="shared" si="10"/>
        <v>-33326.408357581451</v>
      </c>
      <c r="F44" s="29">
        <f t="shared" si="11"/>
        <v>-46916.178833109865</v>
      </c>
    </row>
    <row r="45" spans="3:13" x14ac:dyDescent="0.2">
      <c r="C45" s="24">
        <v>11</v>
      </c>
      <c r="D45" s="29">
        <f t="shared" si="9"/>
        <v>-80242.587190691323</v>
      </c>
      <c r="E45" s="29">
        <f t="shared" si="10"/>
        <v>-30980.599415925957</v>
      </c>
      <c r="F45" s="29">
        <f t="shared" si="11"/>
        <v>-49261.987774765366</v>
      </c>
    </row>
    <row r="46" spans="3:13" x14ac:dyDescent="0.2">
      <c r="C46" s="24">
        <v>12</v>
      </c>
      <c r="D46" s="29">
        <f t="shared" si="9"/>
        <v>-80242.587190691323</v>
      </c>
      <c r="E46" s="29">
        <f t="shared" si="10"/>
        <v>-28517.500027187682</v>
      </c>
      <c r="F46" s="29">
        <f t="shared" si="11"/>
        <v>-51725.087163503631</v>
      </c>
    </row>
    <row r="47" spans="3:13" x14ac:dyDescent="0.2">
      <c r="C47" s="24">
        <v>13</v>
      </c>
      <c r="D47" s="29">
        <f t="shared" si="9"/>
        <v>-80242.587190691323</v>
      </c>
      <c r="E47" s="29">
        <f t="shared" si="10"/>
        <v>-25931.2456690125</v>
      </c>
      <c r="F47" s="29">
        <f t="shared" si="11"/>
        <v>-54311.341521678813</v>
      </c>
    </row>
    <row r="48" spans="3:13" x14ac:dyDescent="0.2">
      <c r="C48" s="24">
        <v>14</v>
      </c>
      <c r="D48" s="29">
        <f t="shared" si="9"/>
        <v>-80242.587190691323</v>
      </c>
      <c r="E48" s="29">
        <f t="shared" si="10"/>
        <v>-23215.678592928562</v>
      </c>
      <c r="F48" s="29">
        <f t="shared" si="11"/>
        <v>-57026.908597762747</v>
      </c>
    </row>
    <row r="49" spans="3:6" x14ac:dyDescent="0.2">
      <c r="C49" s="24">
        <v>15</v>
      </c>
      <c r="D49" s="29">
        <f t="shared" si="9"/>
        <v>-80242.587190691323</v>
      </c>
      <c r="E49" s="29">
        <f t="shared" si="10"/>
        <v>-20364.333163040421</v>
      </c>
      <c r="F49" s="29">
        <f t="shared" si="11"/>
        <v>-59878.254027650895</v>
      </c>
    </row>
    <row r="50" spans="3:6" x14ac:dyDescent="0.2">
      <c r="C50" s="24">
        <v>16</v>
      </c>
      <c r="D50" s="29">
        <f t="shared" si="9"/>
        <v>-80242.587190691323</v>
      </c>
      <c r="E50" s="29">
        <f t="shared" si="10"/>
        <v>-17370.420461657875</v>
      </c>
      <c r="F50" s="29">
        <f t="shared" si="11"/>
        <v>-62872.166729033437</v>
      </c>
    </row>
    <row r="51" spans="3:6" x14ac:dyDescent="0.2">
      <c r="C51" s="24">
        <v>17</v>
      </c>
      <c r="D51" s="29">
        <f t="shared" si="9"/>
        <v>-80242.587190691323</v>
      </c>
      <c r="E51" s="29">
        <f t="shared" si="10"/>
        <v>-14226.812125206205</v>
      </c>
      <c r="F51" s="29">
        <f t="shared" si="11"/>
        <v>-66015.775065485112</v>
      </c>
    </row>
    <row r="52" spans="3:6" x14ac:dyDescent="0.2">
      <c r="C52" s="24">
        <v>18</v>
      </c>
      <c r="D52" s="29">
        <f t="shared" si="9"/>
        <v>-80242.587190691323</v>
      </c>
      <c r="E52" s="29">
        <f t="shared" si="10"/>
        <v>-10926.023371931948</v>
      </c>
      <c r="F52" s="29">
        <f t="shared" si="11"/>
        <v>-69316.563818759372</v>
      </c>
    </row>
    <row r="53" spans="3:6" x14ac:dyDescent="0.2">
      <c r="C53" s="24">
        <v>19</v>
      </c>
      <c r="D53" s="29">
        <f t="shared" si="9"/>
        <v>-80242.587190691323</v>
      </c>
      <c r="E53" s="29">
        <f t="shared" si="10"/>
        <v>-7460.1951809939783</v>
      </c>
      <c r="F53" s="29">
        <f t="shared" si="11"/>
        <v>-72782.392009697331</v>
      </c>
    </row>
    <row r="54" spans="3:6" x14ac:dyDescent="0.2">
      <c r="C54" s="24">
        <v>20</v>
      </c>
      <c r="D54" s="29">
        <f t="shared" si="9"/>
        <v>-80242.587190691323</v>
      </c>
      <c r="E54" s="29">
        <f t="shared" si="10"/>
        <v>-3821.0755805091112</v>
      </c>
      <c r="F54" s="29">
        <f t="shared" si="11"/>
        <v>-76421.511610182206</v>
      </c>
    </row>
    <row r="55" spans="3:6" x14ac:dyDescent="0.2">
      <c r="D55" s="51">
        <f>SUM(D35:D54)</f>
        <v>-1604851.7438138272</v>
      </c>
      <c r="E55" s="51">
        <f>SUM(E35:E54)</f>
        <v>-604851.7438138267</v>
      </c>
      <c r="F55" s="51">
        <f>SUM(F35:F54)</f>
        <v>-999999.99999999977</v>
      </c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4F5BD-7480-4196-8885-E77C31ADF125}">
  <dimension ref="B2:E18"/>
  <sheetViews>
    <sheetView topLeftCell="A18" zoomScale="310" zoomScaleNormal="310" workbookViewId="0">
      <selection activeCell="D17" sqref="D17"/>
    </sheetView>
  </sheetViews>
  <sheetFormatPr defaultRowHeight="12.75" x14ac:dyDescent="0.2"/>
  <cols>
    <col min="3" max="4" width="13.7109375" bestFit="1" customWidth="1"/>
    <col min="5" max="5" width="12.5703125" bestFit="1" customWidth="1"/>
  </cols>
  <sheetData>
    <row r="2" spans="2:5" x14ac:dyDescent="0.2">
      <c r="B2" t="s">
        <v>81</v>
      </c>
    </row>
    <row r="3" spans="2:5" x14ac:dyDescent="0.2">
      <c r="B3" t="s">
        <v>82</v>
      </c>
    </row>
    <row r="4" spans="2:5" x14ac:dyDescent="0.2">
      <c r="B4" t="s">
        <v>83</v>
      </c>
    </row>
    <row r="5" spans="2:5" x14ac:dyDescent="0.2">
      <c r="B5" s="57">
        <f>RATE(24,-1000,22000-1000)*12</f>
        <v>0.13164333326091932</v>
      </c>
    </row>
    <row r="7" spans="2:5" x14ac:dyDescent="0.2">
      <c r="B7" t="s">
        <v>84</v>
      </c>
    </row>
    <row r="9" spans="2:5" x14ac:dyDescent="0.2">
      <c r="B9" t="s">
        <v>85</v>
      </c>
    </row>
    <row r="10" spans="2:5" x14ac:dyDescent="0.2">
      <c r="B10" t="s">
        <v>86</v>
      </c>
    </row>
    <row r="11" spans="2:5" ht="13.5" thickBot="1" x14ac:dyDescent="0.25"/>
    <row r="12" spans="2:5" ht="13.5" thickBot="1" x14ac:dyDescent="0.25">
      <c r="B12" s="64" t="s">
        <v>87</v>
      </c>
      <c r="C12" s="65" t="s">
        <v>5</v>
      </c>
      <c r="D12" s="65" t="s">
        <v>13</v>
      </c>
      <c r="E12" s="66" t="s">
        <v>2</v>
      </c>
    </row>
    <row r="13" spans="2:5" x14ac:dyDescent="0.2">
      <c r="B13" s="67">
        <v>1</v>
      </c>
      <c r="C13" s="70">
        <f>PMT(5.5%,5,500000)</f>
        <v>-117088.21809289651</v>
      </c>
      <c r="D13" s="71">
        <f>PPMT(5.5%,B13,5,500000)</f>
        <v>-89588.21809289651</v>
      </c>
      <c r="E13" s="72">
        <f>IPMT(5.5%,B13,5,500000)</f>
        <v>-27500</v>
      </c>
    </row>
    <row r="14" spans="2:5" x14ac:dyDescent="0.2">
      <c r="B14" s="68">
        <v>2</v>
      </c>
      <c r="C14" s="73">
        <f t="shared" ref="C14:C17" si="0">PMT(5.5%,5,500000)</f>
        <v>-117088.21809289651</v>
      </c>
      <c r="D14" s="63">
        <f t="shared" ref="D14:D16" si="1">PPMT(5.5%,B14,5,500000)</f>
        <v>-94515.570088005828</v>
      </c>
      <c r="E14" s="74">
        <f t="shared" ref="E14:E17" si="2">IPMT(5.5%,B14,5,500000)</f>
        <v>-22572.648004890689</v>
      </c>
    </row>
    <row r="15" spans="2:5" x14ac:dyDescent="0.2">
      <c r="B15" s="68">
        <v>3</v>
      </c>
      <c r="C15" s="73">
        <f t="shared" si="0"/>
        <v>-117088.21809289651</v>
      </c>
      <c r="D15" s="63">
        <f t="shared" si="1"/>
        <v>-99713.926442846147</v>
      </c>
      <c r="E15" s="74">
        <f t="shared" si="2"/>
        <v>-17374.291650050374</v>
      </c>
    </row>
    <row r="16" spans="2:5" x14ac:dyDescent="0.2">
      <c r="B16" s="68">
        <v>4</v>
      </c>
      <c r="C16" s="73">
        <f t="shared" si="0"/>
        <v>-117088.21809289651</v>
      </c>
      <c r="D16" s="63">
        <f t="shared" si="1"/>
        <v>-105198.19239720269</v>
      </c>
      <c r="E16" s="74">
        <f t="shared" si="2"/>
        <v>-11890.025695693832</v>
      </c>
    </row>
    <row r="17" spans="2:5" ht="13.5" thickBot="1" x14ac:dyDescent="0.25">
      <c r="B17" s="68">
        <v>5</v>
      </c>
      <c r="C17" s="78">
        <f t="shared" si="0"/>
        <v>-117088.21809289651</v>
      </c>
      <c r="D17" s="79">
        <f>PPMT(5.5%,B17,5,500000)</f>
        <v>-110984.09297904883</v>
      </c>
      <c r="E17" s="80">
        <f t="shared" si="2"/>
        <v>-6104.1251138476855</v>
      </c>
    </row>
    <row r="18" spans="2:5" ht="13.5" thickBot="1" x14ac:dyDescent="0.25">
      <c r="B18" s="69" t="s">
        <v>88</v>
      </c>
      <c r="C18" s="75">
        <f>SUM(C13:C17)</f>
        <v>-585441.09046448255</v>
      </c>
      <c r="D18" s="76">
        <f>SUM(D13:D17)</f>
        <v>-500000</v>
      </c>
      <c r="E18" s="77">
        <f>SUM(E13:E17)</f>
        <v>-85441.090464482564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L22"/>
  <sheetViews>
    <sheetView topLeftCell="A7" zoomScale="220" zoomScaleNormal="220" workbookViewId="0">
      <selection activeCell="G22" sqref="G22"/>
    </sheetView>
  </sheetViews>
  <sheetFormatPr defaultRowHeight="12.75" x14ac:dyDescent="0.2"/>
  <cols>
    <col min="2" max="2" width="11.5703125" bestFit="1" customWidth="1"/>
    <col min="4" max="4" width="9.5703125" bestFit="1" customWidth="1"/>
  </cols>
  <sheetData>
    <row r="4" spans="2:12" x14ac:dyDescent="0.2">
      <c r="B4" s="20"/>
    </row>
    <row r="5" spans="2:12" x14ac:dyDescent="0.2">
      <c r="B5" s="20" t="s">
        <v>46</v>
      </c>
    </row>
    <row r="6" spans="2:12" ht="13.5" thickBot="1" x14ac:dyDescent="0.25">
      <c r="B6" s="21"/>
    </row>
    <row r="7" spans="2:12" ht="34.5" customHeight="1" thickBot="1" x14ac:dyDescent="0.25">
      <c r="B7" s="87" t="s">
        <v>47</v>
      </c>
      <c r="C7" s="88"/>
      <c r="D7" s="88"/>
      <c r="E7" s="88"/>
      <c r="F7" s="88"/>
      <c r="G7" s="88"/>
      <c r="H7" s="88"/>
      <c r="I7" s="89"/>
    </row>
    <row r="8" spans="2:12" x14ac:dyDescent="0.2">
      <c r="B8" s="21" t="s">
        <v>70</v>
      </c>
      <c r="C8" t="s">
        <v>12</v>
      </c>
      <c r="E8" s="21" t="s">
        <v>70</v>
      </c>
      <c r="F8" t="s">
        <v>12</v>
      </c>
    </row>
    <row r="9" spans="2:12" x14ac:dyDescent="0.2">
      <c r="B9" s="35">
        <f>NPER(10%/12,-3000,100000)</f>
        <v>39.213174201270093</v>
      </c>
      <c r="C9" s="35">
        <f>NPER(10%/12,-3000,100000)/12</f>
        <v>3.2677645167725076</v>
      </c>
      <c r="E9" s="35">
        <f>NPER(10%/12,-3000,100000)</f>
        <v>39.213174201270093</v>
      </c>
      <c r="F9" s="35">
        <f>NPER(10%,-3000*12,100000)</f>
        <v>3.4143509235081844</v>
      </c>
    </row>
    <row r="10" spans="2:12" x14ac:dyDescent="0.2">
      <c r="B10" s="21"/>
      <c r="L10">
        <f>3000*B9</f>
        <v>117639.52260381028</v>
      </c>
    </row>
    <row r="11" spans="2:12" x14ac:dyDescent="0.2">
      <c r="B11" s="20" t="s">
        <v>48</v>
      </c>
    </row>
    <row r="12" spans="2:12" x14ac:dyDescent="0.2">
      <c r="B12" s="20"/>
    </row>
    <row r="13" spans="2:12" ht="13.5" customHeight="1" x14ac:dyDescent="0.2">
      <c r="B13" s="90" t="s">
        <v>49</v>
      </c>
      <c r="C13" s="90"/>
      <c r="D13" s="90"/>
      <c r="E13" s="90"/>
      <c r="F13" s="90"/>
      <c r="G13" s="90"/>
      <c r="H13" s="90"/>
      <c r="I13" s="90"/>
    </row>
    <row r="14" spans="2:12" x14ac:dyDescent="0.2">
      <c r="B14" s="21"/>
    </row>
    <row r="15" spans="2:12" x14ac:dyDescent="0.2">
      <c r="B15" s="21"/>
    </row>
    <row r="16" spans="2:12" x14ac:dyDescent="0.2">
      <c r="B16" s="35">
        <f>NPER(4%,-4000*12,,1000000)</f>
        <v>15.45448195195819</v>
      </c>
      <c r="D16" s="81">
        <f>NPER(4%,-4000*12,0,1000000)</f>
        <v>15.45448195195819</v>
      </c>
      <c r="F16">
        <f>15.45*12*4</f>
        <v>741.59999999999991</v>
      </c>
    </row>
    <row r="19" spans="2:6" x14ac:dyDescent="0.2">
      <c r="B19" t="s">
        <v>73</v>
      </c>
    </row>
    <row r="22" spans="2:6" x14ac:dyDescent="0.2">
      <c r="B22" s="56">
        <f>NPER(0.048,-4500*12,,720000)</f>
        <v>10.55158713549333</v>
      </c>
      <c r="D22" s="82">
        <f>NPER(4.8%,-4500*12,0,720000)</f>
        <v>10.55158713549333</v>
      </c>
      <c r="F22">
        <f>10.6*4.8*12</f>
        <v>610.55999999999995</v>
      </c>
    </row>
  </sheetData>
  <mergeCells count="2">
    <mergeCell ref="B7:I7"/>
    <mergeCell ref="B13:I13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fin_funkce</vt:lpstr>
      <vt:lpstr>úroková.míra</vt:lpstr>
      <vt:lpstr>platba</vt:lpstr>
      <vt:lpstr>platba.zaklad</vt:lpstr>
      <vt:lpstr>procvičení</vt:lpstr>
      <vt:lpstr>pocet.obdobi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ZdenekJ</dc:creator>
  <cp:lastModifiedBy>Olga Krankusová</cp:lastModifiedBy>
  <cp:lastPrinted>2005-05-30T22:47:15Z</cp:lastPrinted>
  <dcterms:created xsi:type="dcterms:W3CDTF">2005-05-10T20:47:13Z</dcterms:created>
  <dcterms:modified xsi:type="dcterms:W3CDTF">2023-10-19T07:26:59Z</dcterms:modified>
</cp:coreProperties>
</file>