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msd-my.sharepoint.com/personal/it-romankrulicky_stredniskola_net/Documents/!!!IT 2025/III.IT/APP/"/>
    </mc:Choice>
  </mc:AlternateContent>
  <xr:revisionPtr revIDLastSave="433" documentId="13_ncr:1_{57057F23-99F2-4BC1-9C4F-C32812F9F4EE}" xr6:coauthVersionLast="47" xr6:coauthVersionMax="47" xr10:uidLastSave="{29A68BEF-E3D2-4451-8D7E-A1FC92FB2F2F}"/>
  <bookViews>
    <workbookView xWindow="-120" yWindow="-120" windowWidth="29040" windowHeight="15720" tabRatio="900" activeTab="4" xr2:uid="{00000000-000D-0000-FFFF-FFFF00000000}"/>
  </bookViews>
  <sheets>
    <sheet name="fin_funkce" sheetId="18" r:id="rId1"/>
    <sheet name="úroková.míra" sheetId="3" r:id="rId2"/>
    <sheet name="platba" sheetId="7" r:id="rId3"/>
    <sheet name="platba.zaklad" sheetId="4" r:id="rId4"/>
    <sheet name="Procvicovani v2" sheetId="19" r:id="rId5"/>
    <sheet name="pocet.obdobi" sheetId="16" r:id="rId6"/>
  </sheets>
  <definedNames>
    <definedName name="da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9" l="1"/>
  <c r="O7" i="19"/>
  <c r="L7" i="19"/>
  <c r="F37" i="19"/>
  <c r="G37" i="19"/>
  <c r="H37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H12" i="19"/>
  <c r="G13" i="19"/>
  <c r="G14" i="19"/>
  <c r="G15" i="19"/>
  <c r="G16" i="19"/>
  <c r="G12" i="19"/>
  <c r="F13" i="19"/>
  <c r="F14" i="19"/>
  <c r="F15" i="19"/>
  <c r="F16" i="19"/>
  <c r="F12" i="19"/>
  <c r="C17" i="19"/>
  <c r="I7" i="19"/>
  <c r="F7" i="19"/>
  <c r="C7" i="19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9" i="4"/>
  <c r="K19" i="4"/>
  <c r="L19" i="4"/>
  <c r="M19" i="4"/>
  <c r="K20" i="4"/>
  <c r="L20" i="4"/>
  <c r="M20" i="4"/>
  <c r="K21" i="4"/>
  <c r="L21" i="4"/>
  <c r="M21" i="4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K35" i="4"/>
  <c r="L35" i="4"/>
  <c r="M35" i="4"/>
  <c r="K36" i="4"/>
  <c r="L36" i="4"/>
  <c r="M36" i="4"/>
  <c r="K37" i="4"/>
  <c r="L37" i="4"/>
  <c r="M37" i="4"/>
  <c r="K38" i="4"/>
  <c r="L38" i="4"/>
  <c r="M38" i="4"/>
  <c r="M6" i="4"/>
  <c r="M7" i="4"/>
  <c r="M8" i="4"/>
  <c r="M9" i="4"/>
  <c r="M5" i="4"/>
  <c r="L6" i="4"/>
  <c r="L7" i="4"/>
  <c r="L8" i="4"/>
  <c r="L9" i="4"/>
  <c r="L5" i="4"/>
  <c r="K6" i="4"/>
  <c r="K7" i="4"/>
  <c r="K8" i="4"/>
  <c r="K10" i="4" s="1"/>
  <c r="K9" i="4"/>
  <c r="K5" i="4"/>
  <c r="B70" i="7"/>
  <c r="I19" i="7"/>
  <c r="F19" i="7"/>
  <c r="C22" i="7"/>
  <c r="C51" i="7"/>
  <c r="C42" i="7"/>
  <c r="C39" i="7"/>
  <c r="R39" i="4" l="1"/>
  <c r="Q39" i="4"/>
  <c r="P39" i="4"/>
  <c r="M10" i="4"/>
  <c r="L10" i="4"/>
  <c r="C35" i="3"/>
  <c r="I22" i="7"/>
  <c r="I10" i="7"/>
  <c r="C10" i="7" l="1"/>
  <c r="F10" i="7" s="1"/>
  <c r="C36" i="3"/>
  <c r="M27" i="3"/>
  <c r="C30" i="3"/>
  <c r="C29" i="3"/>
  <c r="S17" i="3"/>
  <c r="N17" i="3"/>
  <c r="S10" i="3"/>
  <c r="K39" i="4"/>
  <c r="L16" i="4"/>
  <c r="B22" i="16"/>
  <c r="K22" i="7"/>
  <c r="J10" i="7"/>
  <c r="E30" i="3"/>
  <c r="E29" i="3"/>
  <c r="O17" i="3"/>
  <c r="O10" i="3"/>
  <c r="B16" i="16"/>
  <c r="C9" i="16"/>
  <c r="B9" i="16"/>
  <c r="L10" i="16" s="1"/>
  <c r="F29" i="4"/>
  <c r="F28" i="4"/>
  <c r="E11" i="4"/>
  <c r="E12" i="4"/>
  <c r="E13" i="4"/>
  <c r="E14" i="4"/>
  <c r="E10" i="4"/>
  <c r="D11" i="4"/>
  <c r="D12" i="4"/>
  <c r="D13" i="4"/>
  <c r="D14" i="4"/>
  <c r="D10" i="4"/>
  <c r="C11" i="4"/>
  <c r="C12" i="4"/>
  <c r="C13" i="4"/>
  <c r="C14" i="4"/>
  <c r="C10" i="4"/>
  <c r="C15" i="4" s="1"/>
  <c r="F51" i="7"/>
  <c r="F22" i="7"/>
  <c r="C6" i="7"/>
  <c r="D28" i="4"/>
  <c r="D15" i="4" l="1"/>
  <c r="E15" i="4"/>
  <c r="L39" i="4"/>
  <c r="M39" i="4"/>
</calcChain>
</file>

<file path=xl/sharedStrings.xml><?xml version="1.0" encoding="utf-8"?>
<sst xmlns="http://schemas.openxmlformats.org/spreadsheetml/2006/main" count="163" uniqueCount="95">
  <si>
    <t>půjčka</t>
  </si>
  <si>
    <t xml:space="preserve"> </t>
  </si>
  <si>
    <t>úrok</t>
  </si>
  <si>
    <t>počet splátek</t>
  </si>
  <si>
    <t>Příklad 2</t>
  </si>
  <si>
    <t>splátka</t>
  </si>
  <si>
    <t>úroková míra:</t>
  </si>
  <si>
    <t>počet let</t>
  </si>
  <si>
    <t>A</t>
  </si>
  <si>
    <t>perioda</t>
  </si>
  <si>
    <t>dluh</t>
  </si>
  <si>
    <t xml:space="preserve">úrok </t>
  </si>
  <si>
    <t>rok</t>
  </si>
  <si>
    <t>jistina</t>
  </si>
  <si>
    <t>B</t>
  </si>
  <si>
    <t>Výše hypotéky:</t>
  </si>
  <si>
    <t>období</t>
  </si>
  <si>
    <t>výše úroků v</t>
  </si>
  <si>
    <t>roce</t>
  </si>
  <si>
    <t>ÚROK</t>
  </si>
  <si>
    <t>PŮJČKA</t>
  </si>
  <si>
    <t>PLATBA</t>
  </si>
  <si>
    <t>úroková míra</t>
  </si>
  <si>
    <t xml:space="preserve">  </t>
  </si>
  <si>
    <t>Příklad 6</t>
  </si>
  <si>
    <t xml:space="preserve">Splácení pětiletého investičního úvěru. </t>
  </si>
  <si>
    <t xml:space="preserve">Příklad 3  </t>
  </si>
  <si>
    <t>Prodejce elektroniky nabízí půjčku na techniku ve výši 20 000 Kč s úrokem 16% a dobou splatnosti 24 měsíců, jaká je výše měsíční splátky?</t>
  </si>
  <si>
    <t xml:space="preserve">Příklad 4 </t>
  </si>
  <si>
    <t>Funkce pro financování se používají nejen pro dluhové financování, ale i pro spoření. Můžete si tak například zjistit, kolik byste museli spořit měsíčně v případě, že byste chtěli mít naspořeno po 20 letech do penzijního  fondu s průměrným ročním výnosem 3%  částku 1 000 000 Kč.</t>
  </si>
  <si>
    <t>POČET MĚSÍCŮ</t>
  </si>
  <si>
    <t>Příklad 1</t>
  </si>
  <si>
    <t>POČET LET</t>
  </si>
  <si>
    <t>NASPOŘENO</t>
  </si>
  <si>
    <t>Příklad 5</t>
  </si>
  <si>
    <t xml:space="preserve">Základní údaje: </t>
  </si>
  <si>
    <t xml:space="preserve"> pořizovací cena  </t>
  </si>
  <si>
    <t xml:space="preserve">LEASING </t>
  </si>
  <si>
    <t xml:space="preserve"> akontace                </t>
  </si>
  <si>
    <t xml:space="preserve"> počet splátek                </t>
  </si>
  <si>
    <t xml:space="preserve"> odkupní cena               </t>
  </si>
  <si>
    <t xml:space="preserve"> úroková sazba  </t>
  </si>
  <si>
    <t xml:space="preserve">Výpočet splátky s odkupní cenou </t>
  </si>
  <si>
    <t>Výpočet splátky bez odkupní ceny</t>
  </si>
  <si>
    <t>Příklad 7</t>
  </si>
  <si>
    <t xml:space="preserve">Výpočet splátek hypotéky </t>
  </si>
  <si>
    <t xml:space="preserve">Příklad 8 </t>
  </si>
  <si>
    <t>Za jak dlouho splatíte půjčku 100 000 Kč s úrokem 10% budete-li splácet 3 000 měsíčně</t>
  </si>
  <si>
    <t xml:space="preserve">Příklad 9 </t>
  </si>
  <si>
    <t xml:space="preserve"> Za kolik let naspoříte 1 000 000 Kč při pravidelné  měsíční splátce 4000 Kč a úrokem 4%.</t>
  </si>
  <si>
    <t>4 základní okruhy</t>
  </si>
  <si>
    <t>1. Financování</t>
  </si>
  <si>
    <t>2. Investiční rozhodování</t>
  </si>
  <si>
    <t>3. Výpočty odpisů</t>
  </si>
  <si>
    <t>4. Funkce pro cenné papíry</t>
  </si>
  <si>
    <t>Nejpoužívanější finační funkce jsou založeny na výpočtu úrokové míry a jsou určeny
k výpočtům úvěrů, leasingů, plateb úroků, spoření a hypoték.</t>
  </si>
  <si>
    <t>základní argumenty finančních funkcí</t>
  </si>
  <si>
    <t>FINANČNÍ FUNKCE</t>
  </si>
  <si>
    <t>Typ - číslo určující, kdy je platba prováděna, (0 - na konci období, 1 - na začátku období), 
pokud není uveden typ, je standardně nastaven typ 0</t>
  </si>
  <si>
    <t xml:space="preserve">Typickým příkladem je výpočet úrokové míry u splátkových společností. Mezi standardní nabídkou splátkových společností je příklad s heslem jen jednu splátku navíc.  Pořiďte si TV v ceně 10 000 Kč, složte jen 1000 Kč a poté zaplaťte 10 x 1000. </t>
  </si>
  <si>
    <t>měsíční  splátka</t>
  </si>
  <si>
    <r>
      <rPr>
        <b/>
        <sz val="16"/>
        <color rgb="FFFF0000"/>
        <rFont val="Arial"/>
        <family val="2"/>
        <charset val="238"/>
      </rPr>
      <t>Souč_hod</t>
    </r>
    <r>
      <rPr>
        <sz val="11"/>
        <rFont val="Arial"/>
        <family val="2"/>
        <charset val="238"/>
      </rPr>
      <t xml:space="preserve"> - aktuální nebo celková hodnota budoucích plateb</t>
    </r>
  </si>
  <si>
    <r>
      <rPr>
        <b/>
        <sz val="14"/>
        <color rgb="FFFF0000"/>
        <rFont val="Arial"/>
        <family val="2"/>
        <charset val="238"/>
      </rPr>
      <t>Bud_hodnota</t>
    </r>
    <r>
      <rPr>
        <sz val="11"/>
        <rFont val="Arial"/>
        <family val="2"/>
        <charset val="238"/>
      </rPr>
      <t xml:space="preserve"> - předpokládaná budoucí hodnota, které má být dosaženo, pokud není uvedena je 0</t>
    </r>
  </si>
  <si>
    <r>
      <rPr>
        <b/>
        <sz val="14"/>
        <color rgb="FFFF0000"/>
        <rFont val="Arial"/>
        <family val="2"/>
        <charset val="238"/>
      </rPr>
      <t>Splátka</t>
    </r>
    <r>
      <rPr>
        <sz val="11"/>
        <rFont val="Arial"/>
        <family val="2"/>
        <charset val="238"/>
      </rPr>
      <t xml:space="preserve"> - pravidelné splátky za dané období (obvykle měsíc), jedná-li se o dluh - </t>
    </r>
    <r>
      <rPr>
        <b/>
        <sz val="14"/>
        <color rgb="FFFF0000"/>
        <rFont val="Arial"/>
        <family val="2"/>
        <charset val="238"/>
      </rPr>
      <t>záporná hodnota</t>
    </r>
  </si>
  <si>
    <r>
      <rPr>
        <b/>
        <sz val="16"/>
        <color rgb="FFFF0000"/>
        <rFont val="Arial"/>
        <family val="2"/>
        <charset val="238"/>
      </rPr>
      <t>SAZBA</t>
    </r>
    <r>
      <rPr>
        <sz val="11"/>
        <rFont val="Arial"/>
        <family val="2"/>
        <charset val="238"/>
      </rPr>
      <t xml:space="preserve"> - úroková sazba dané půjčky nebo splátky za určené období, úrokovou sazbu je
nutné vložit vztaženou k počtu období, u měsíčních splátek se roční sazba dělí 12</t>
    </r>
  </si>
  <si>
    <r>
      <rPr>
        <b/>
        <sz val="16"/>
        <color rgb="FFFF0000"/>
        <rFont val="Arial"/>
        <family val="2"/>
        <charset val="238"/>
      </rPr>
      <t>Pper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- je celkový počet úročených období anuity, anuita je série konstantních hotovostních plateb v průběhu spojitého období </t>
    </r>
  </si>
  <si>
    <t>KONTROLA:</t>
  </si>
  <si>
    <t>kontrola:</t>
  </si>
  <si>
    <t>Jakou leasingovou společnost si vybrat při leasingu osobního automobilu s pořizovací cenou 1 300 000 Kč, pokud máme následující nabídku
A.) akontace  300 000 Kč, měsíční splátka 35000  Kč po dobu 36 měsíců a odprodejem po 36 měsících za 1000 Kč
B.) akontace 100 000 Kč a měsíční splátka 26 000 Kč po dobu 48 měsíců a se závěrečným odkoupením  za 10 000 Kč.</t>
  </si>
  <si>
    <t>kolik byste museli spořit měsíčně v případě, že byste chtěli mít naspořeno po 30 letech do penzijního  fondu s průměrným ročním výnosem 2,1%  částku 1600000</t>
  </si>
  <si>
    <t>měsíc</t>
  </si>
  <si>
    <t xml:space="preserve">Pořiďte si TV v ceně 18 500 Kč, složte jen 1000 Kč a poté zaplaťte 17 x 1000. </t>
  </si>
  <si>
    <t>Jakou leasingovou společnost si vybrat při leasingu osobního automobilu s pořizovací cenou 300 000 Kč, pokud máme následující nabídku
A.) akontace  80 000 Kč, měsíční splátka 7000  Kč po dobu 36 měsíců a odprodejem po 36 měsících za 1000 Kč
B.) akontace 70 000 Kč a měsíční splátka 5000 Kč po dobu 48 měsíců a se závěrečným odkoupením  za 10 000 Kč.</t>
  </si>
  <si>
    <t>Příklad:
Nákup automobilu v ceně
280000, akontace 50000
Splátka 36x
Na konci odprodej
za 5000kč
Splátka 9000kč</t>
  </si>
  <si>
    <t>Za jak dlouho naspořím 720000 při měsíční splátce 4500 při úroku 4,8%</t>
  </si>
  <si>
    <t>Kolik musím spořit měsíčně, abych za deset let při úroku 4,8% měl/a 720000?</t>
  </si>
  <si>
    <t>Zadání příkladu</t>
  </si>
  <si>
    <t>Za 5let při úroku 4.5% chci mít 250 000.-</t>
  </si>
  <si>
    <t>Půjčka</t>
  </si>
  <si>
    <t>Roční úrok</t>
  </si>
  <si>
    <t>Období (měsíc)</t>
  </si>
  <si>
    <t>Platba</t>
  </si>
  <si>
    <t>Splátka</t>
  </si>
  <si>
    <t>počet období</t>
  </si>
  <si>
    <t>Období (rok)</t>
  </si>
  <si>
    <t>Úroková míra</t>
  </si>
  <si>
    <t>Přehled hypotečního úvěru</t>
  </si>
  <si>
    <t>Sazba (rok)</t>
  </si>
  <si>
    <t>Měíční splátka</t>
  </si>
  <si>
    <t>Splátky</t>
  </si>
  <si>
    <t>Akontace</t>
  </si>
  <si>
    <t>Cena</t>
  </si>
  <si>
    <t>odkup</t>
  </si>
  <si>
    <t>urok</t>
  </si>
  <si>
    <t>platba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</si>
</sst>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Kč&quot;;[Red]\-#,##0.00\ &quot;Kč&quot;"/>
    <numFmt numFmtId="164" formatCode="0.000000"/>
    <numFmt numFmtId="165" formatCode="0.0"/>
    <numFmt numFmtId="166" formatCode="0.00;[Red]0.00"/>
    <numFmt numFmtId="167" formatCode="_(* #,##0.0_);_(* \(#,##0.0\);_(* &quot;-&quot;??_);_(@_)"/>
    <numFmt numFmtId="168" formatCode="0;[Red]0"/>
    <numFmt numFmtId="169" formatCode="0.00_);[Red]\(0.00\)"/>
    <numFmt numFmtId="170" formatCode="0.00_);\(0.00\)"/>
    <numFmt numFmtId="171" formatCode="0.0_);\(0.0\)"/>
    <numFmt numFmtId="172" formatCode="0_);\(0\)"/>
    <numFmt numFmtId="173" formatCode="0.0_);[Red]\(0.0\)"/>
    <numFmt numFmtId="174" formatCode="0%;\(0%\)"/>
    <numFmt numFmtId="175" formatCode="0.000"/>
    <numFmt numFmtId="176" formatCode="#,##0.00\ &quot;Kč&quot;"/>
  </numFmts>
  <fonts count="33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color theme="4"/>
      <name val="Arial"/>
      <family val="2"/>
      <charset val="238"/>
    </font>
    <font>
      <sz val="16"/>
      <name val="Arial"/>
      <family val="2"/>
      <charset val="238"/>
    </font>
    <font>
      <b/>
      <sz val="16"/>
      <color theme="4"/>
      <name val="Arial"/>
      <family val="2"/>
      <charset val="238"/>
    </font>
    <font>
      <b/>
      <sz val="14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164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166" fontId="5" fillId="0" borderId="0" applyFill="0" applyBorder="0" applyAlignment="0"/>
    <xf numFmtId="171" fontId="5" fillId="0" borderId="0" applyFill="0" applyBorder="0" applyAlignment="0"/>
    <xf numFmtId="167" fontId="5" fillId="0" borderId="0" applyFill="0" applyBorder="0" applyAlignment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4" fontId="7" fillId="0" borderId="0" applyFill="0" applyBorder="0" applyAlignment="0"/>
    <xf numFmtId="166" fontId="5" fillId="0" borderId="0" applyFill="0" applyBorder="0" applyAlignment="0"/>
    <xf numFmtId="167" fontId="5" fillId="0" borderId="0" applyFill="0" applyBorder="0" applyAlignment="0"/>
    <xf numFmtId="166" fontId="5" fillId="0" borderId="0" applyFill="0" applyBorder="0" applyAlignment="0"/>
    <xf numFmtId="171" fontId="5" fillId="0" borderId="0" applyFill="0" applyBorder="0" applyAlignment="0"/>
    <xf numFmtId="167" fontId="5" fillId="0" borderId="0" applyFill="0" applyBorder="0" applyAlignment="0"/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66" fontId="5" fillId="0" borderId="0" applyFill="0" applyBorder="0" applyAlignment="0"/>
    <xf numFmtId="167" fontId="5" fillId="0" borderId="0" applyFill="0" applyBorder="0" applyAlignment="0"/>
    <xf numFmtId="166" fontId="5" fillId="0" borderId="0" applyFill="0" applyBorder="0" applyAlignment="0"/>
    <xf numFmtId="171" fontId="5" fillId="0" borderId="0" applyFill="0" applyBorder="0" applyAlignment="0"/>
    <xf numFmtId="167" fontId="5" fillId="0" borderId="0" applyFill="0" applyBorder="0" applyAlignment="0"/>
    <xf numFmtId="174" fontId="5" fillId="0" borderId="0"/>
    <xf numFmtId="0" fontId="5" fillId="0" borderId="0"/>
    <xf numFmtId="170" fontId="5" fillId="0" borderId="0" applyFont="0" applyFill="0" applyBorder="0" applyAlignment="0" applyProtection="0"/>
    <xf numFmtId="174" fontId="6" fillId="0" borderId="0" applyFont="0" applyFill="0" applyBorder="0" applyAlignment="0" applyProtection="0"/>
    <xf numFmtId="1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5" fillId="0" borderId="0" applyFill="0" applyBorder="0" applyAlignment="0"/>
    <xf numFmtId="167" fontId="5" fillId="0" borderId="0" applyFill="0" applyBorder="0" applyAlignment="0"/>
    <xf numFmtId="166" fontId="5" fillId="0" borderId="0" applyFill="0" applyBorder="0" applyAlignment="0"/>
    <xf numFmtId="171" fontId="5" fillId="0" borderId="0" applyFill="0" applyBorder="0" applyAlignment="0"/>
    <xf numFmtId="167" fontId="5" fillId="0" borderId="0" applyFill="0" applyBorder="0" applyAlignment="0"/>
    <xf numFmtId="9" fontId="1" fillId="0" borderId="0" applyFont="0" applyFill="0" applyBorder="0" applyAlignment="0" applyProtection="0"/>
    <xf numFmtId="49" fontId="7" fillId="0" borderId="0" applyFill="0" applyBorder="0" applyAlignment="0"/>
    <xf numFmtId="172" fontId="5" fillId="0" borderId="0" applyFill="0" applyBorder="0" applyAlignment="0"/>
    <xf numFmtId="173" fontId="5" fillId="0" borderId="0" applyFill="0" applyBorder="0" applyAlignment="0"/>
  </cellStyleXfs>
  <cellXfs count="101">
    <xf numFmtId="0" fontId="0" fillId="0" borderId="0" xfId="0"/>
    <xf numFmtId="9" fontId="0" fillId="0" borderId="0" xfId="0" applyNumberFormat="1"/>
    <xf numFmtId="8" fontId="0" fillId="0" borderId="0" xfId="0" applyNumberFormat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/>
    <xf numFmtId="0" fontId="0" fillId="0" borderId="14" xfId="0" applyBorder="1"/>
    <xf numFmtId="0" fontId="4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4" xfId="0" applyBorder="1"/>
    <xf numFmtId="0" fontId="4" fillId="0" borderId="15" xfId="0" applyFont="1" applyBorder="1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8" fontId="4" fillId="0" borderId="0" xfId="0" applyNumberFormat="1" applyFont="1" applyAlignment="1">
      <alignment horizontal="justify"/>
    </xf>
    <xf numFmtId="0" fontId="4" fillId="0" borderId="14" xfId="0" applyFont="1" applyBorder="1"/>
    <xf numFmtId="0" fontId="0" fillId="0" borderId="3" xfId="0" applyBorder="1"/>
    <xf numFmtId="0" fontId="12" fillId="5" borderId="3" xfId="0" applyFont="1" applyFill="1" applyBorder="1"/>
    <xf numFmtId="9" fontId="12" fillId="5" borderId="3" xfId="41" applyFont="1" applyFill="1" applyBorder="1"/>
    <xf numFmtId="8" fontId="12" fillId="4" borderId="3" xfId="0" applyNumberFormat="1" applyFont="1" applyFill="1" applyBorder="1"/>
    <xf numFmtId="165" fontId="12" fillId="4" borderId="3" xfId="0" applyNumberFormat="1" applyFont="1" applyFill="1" applyBorder="1"/>
    <xf numFmtId="175" fontId="12" fillId="4" borderId="3" xfId="41" applyNumberFormat="1" applyFont="1" applyFill="1" applyBorder="1"/>
    <xf numFmtId="165" fontId="0" fillId="0" borderId="0" xfId="0" applyNumberFormat="1"/>
    <xf numFmtId="0" fontId="4" fillId="0" borderId="1" xfId="0" applyFont="1" applyBorder="1"/>
    <xf numFmtId="0" fontId="4" fillId="0" borderId="17" xfId="0" applyFont="1" applyBorder="1"/>
    <xf numFmtId="0" fontId="13" fillId="0" borderId="3" xfId="0" applyFont="1" applyBorder="1"/>
    <xf numFmtId="0" fontId="4" fillId="0" borderId="8" xfId="0" applyFont="1" applyBorder="1"/>
    <xf numFmtId="2" fontId="11" fillId="4" borderId="0" xfId="0" applyNumberFormat="1" applyFont="1" applyFill="1" applyAlignment="1">
      <alignment horizontal="justify"/>
    </xf>
    <xf numFmtId="0" fontId="10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4" fillId="6" borderId="0" xfId="0" applyFont="1" applyFill="1" applyAlignment="1">
      <alignment horizontal="center"/>
    </xf>
    <xf numFmtId="0" fontId="16" fillId="0" borderId="0" xfId="0" applyFont="1" applyAlignment="1">
      <alignment wrapText="1"/>
    </xf>
    <xf numFmtId="0" fontId="20" fillId="0" borderId="3" xfId="0" applyFont="1" applyBorder="1"/>
    <xf numFmtId="0" fontId="21" fillId="5" borderId="3" xfId="0" applyFont="1" applyFill="1" applyBorder="1"/>
    <xf numFmtId="10" fontId="21" fillId="4" borderId="3" xfId="0" applyNumberFormat="1" applyFont="1" applyFill="1" applyBorder="1"/>
    <xf numFmtId="0" fontId="22" fillId="0" borderId="0" xfId="0" applyFont="1"/>
    <xf numFmtId="10" fontId="23" fillId="4" borderId="3" xfId="0" applyNumberFormat="1" applyFont="1" applyFill="1" applyBorder="1"/>
    <xf numFmtId="9" fontId="0" fillId="4" borderId="0" xfId="0" applyNumberFormat="1" applyFill="1"/>
    <xf numFmtId="1" fontId="12" fillId="4" borderId="3" xfId="0" applyNumberFormat="1" applyFont="1" applyFill="1" applyBorder="1"/>
    <xf numFmtId="10" fontId="20" fillId="0" borderId="0" xfId="0" applyNumberFormat="1" applyFont="1"/>
    <xf numFmtId="10" fontId="24" fillId="0" borderId="0" xfId="0" applyNumberFormat="1" applyFont="1"/>
    <xf numFmtId="8" fontId="0" fillId="4" borderId="0" xfId="0" applyNumberFormat="1" applyFill="1"/>
    <xf numFmtId="0" fontId="0" fillId="0" borderId="0" xfId="0" applyAlignment="1">
      <alignment wrapText="1"/>
    </xf>
    <xf numFmtId="0" fontId="0" fillId="4" borderId="0" xfId="0" applyFill="1"/>
    <xf numFmtId="10" fontId="0" fillId="4" borderId="0" xfId="0" applyNumberFormat="1" applyFill="1"/>
    <xf numFmtId="0" fontId="0" fillId="7" borderId="0" xfId="0" applyFill="1"/>
    <xf numFmtId="10" fontId="0" fillId="0" borderId="0" xfId="0" applyNumberFormat="1"/>
    <xf numFmtId="10" fontId="12" fillId="5" borderId="3" xfId="0" applyNumberFormat="1" applyFont="1" applyFill="1" applyBorder="1"/>
    <xf numFmtId="1" fontId="12" fillId="5" borderId="3" xfId="0" applyNumberFormat="1" applyFont="1" applyFill="1" applyBorder="1"/>
    <xf numFmtId="10" fontId="12" fillId="5" borderId="3" xfId="41" applyNumberFormat="1" applyFont="1" applyFill="1" applyBorder="1"/>
    <xf numFmtId="176" fontId="12" fillId="5" borderId="3" xfId="0" applyNumberFormat="1" applyFont="1" applyFill="1" applyBorder="1"/>
    <xf numFmtId="176" fontId="12" fillId="4" borderId="3" xfId="0" applyNumberFormat="1" applyFont="1" applyFill="1" applyBorder="1"/>
    <xf numFmtId="176" fontId="0" fillId="0" borderId="0" xfId="0" applyNumberFormat="1"/>
    <xf numFmtId="176" fontId="12" fillId="4" borderId="3" xfId="41" applyNumberFormat="1" applyFont="1" applyFill="1" applyBorder="1"/>
    <xf numFmtId="176" fontId="12" fillId="8" borderId="3" xfId="41" applyNumberFormat="1" applyFont="1" applyFill="1" applyBorder="1"/>
    <xf numFmtId="0" fontId="25" fillId="0" borderId="0" xfId="0" applyFont="1"/>
    <xf numFmtId="0" fontId="26" fillId="10" borderId="5" xfId="0" applyFont="1" applyFill="1" applyBorder="1"/>
    <xf numFmtId="0" fontId="25" fillId="10" borderId="7" xfId="0" applyFont="1" applyFill="1" applyBorder="1" applyAlignment="1">
      <alignment horizontal="center"/>
    </xf>
    <xf numFmtId="0" fontId="26" fillId="10" borderId="8" xfId="0" applyFont="1" applyFill="1" applyBorder="1"/>
    <xf numFmtId="9" fontId="25" fillId="10" borderId="9" xfId="0" applyNumberFormat="1" applyFont="1" applyFill="1" applyBorder="1" applyAlignment="1">
      <alignment horizontal="center"/>
    </xf>
    <xf numFmtId="1" fontId="25" fillId="10" borderId="9" xfId="0" applyNumberFormat="1" applyFont="1" applyFill="1" applyBorder="1" applyAlignment="1">
      <alignment horizontal="center"/>
    </xf>
    <xf numFmtId="0" fontId="25" fillId="10" borderId="9" xfId="0" applyFont="1" applyFill="1" applyBorder="1" applyAlignment="1">
      <alignment horizontal="center"/>
    </xf>
    <xf numFmtId="0" fontId="25" fillId="10" borderId="8" xfId="0" applyFont="1" applyFill="1" applyBorder="1"/>
    <xf numFmtId="0" fontId="25" fillId="10" borderId="9" xfId="0" applyFont="1" applyFill="1" applyBorder="1"/>
    <xf numFmtId="0" fontId="27" fillId="9" borderId="10" xfId="0" applyFont="1" applyFill="1" applyBorder="1"/>
    <xf numFmtId="8" fontId="28" fillId="9" borderId="12" xfId="0" applyNumberFormat="1" applyFont="1" applyFill="1" applyBorder="1"/>
    <xf numFmtId="2" fontId="28" fillId="9" borderId="12" xfId="0" applyNumberFormat="1" applyFont="1" applyFill="1" applyBorder="1"/>
    <xf numFmtId="10" fontId="28" fillId="9" borderId="12" xfId="0" applyNumberFormat="1" applyFont="1" applyFill="1" applyBorder="1"/>
    <xf numFmtId="0" fontId="26" fillId="0" borderId="0" xfId="0" applyFont="1"/>
    <xf numFmtId="8" fontId="30" fillId="9" borderId="8" xfId="0" applyNumberFormat="1" applyFont="1" applyFill="1" applyBorder="1"/>
    <xf numFmtId="8" fontId="30" fillId="9" borderId="0" xfId="0" applyNumberFormat="1" applyFont="1" applyFill="1"/>
    <xf numFmtId="8" fontId="30" fillId="9" borderId="9" xfId="0" applyNumberFormat="1" applyFont="1" applyFill="1" applyBorder="1"/>
    <xf numFmtId="10" fontId="25" fillId="0" borderId="0" xfId="0" applyNumberFormat="1" applyFont="1"/>
    <xf numFmtId="8" fontId="25" fillId="0" borderId="0" xfId="0" applyNumberFormat="1" applyFont="1"/>
    <xf numFmtId="8" fontId="31" fillId="0" borderId="10" xfId="0" applyNumberFormat="1" applyFont="1" applyBorder="1"/>
    <xf numFmtId="8" fontId="31" fillId="0" borderId="11" xfId="0" applyNumberFormat="1" applyFont="1" applyBorder="1"/>
    <xf numFmtId="8" fontId="31" fillId="0" borderId="12" xfId="0" applyNumberFormat="1" applyFont="1" applyBorder="1"/>
    <xf numFmtId="0" fontId="29" fillId="10" borderId="16" xfId="0" applyFont="1" applyFill="1" applyBorder="1" applyAlignment="1">
      <alignment horizontal="center"/>
    </xf>
    <xf numFmtId="0" fontId="29" fillId="10" borderId="1" xfId="0" applyFont="1" applyFill="1" applyBorder="1" applyAlignment="1">
      <alignment horizontal="center"/>
    </xf>
    <xf numFmtId="0" fontId="29" fillId="10" borderId="17" xfId="0" applyFont="1" applyFill="1" applyBorder="1" applyAlignment="1">
      <alignment horizontal="center"/>
    </xf>
    <xf numFmtId="0" fontId="19" fillId="0" borderId="16" xfId="0" applyFont="1" applyBorder="1" applyAlignment="1">
      <alignment horizontal="justify" vertical="justify" wrapText="1"/>
    </xf>
    <xf numFmtId="0" fontId="19" fillId="0" borderId="1" xfId="0" applyFont="1" applyBorder="1" applyAlignment="1">
      <alignment horizontal="justify" vertical="justify" wrapText="1"/>
    </xf>
    <xf numFmtId="0" fontId="19" fillId="0" borderId="17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5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justify" vertical="justify" wrapText="1"/>
    </xf>
    <xf numFmtId="0" fontId="4" fillId="0" borderId="17" xfId="0" applyFont="1" applyBorder="1" applyAlignment="1">
      <alignment horizontal="justify" vertical="justify" wrapText="1"/>
    </xf>
    <xf numFmtId="0" fontId="4" fillId="0" borderId="0" xfId="0" applyFont="1" applyAlignment="1">
      <alignment horizontal="center"/>
    </xf>
    <xf numFmtId="4" fontId="25" fillId="0" borderId="0" xfId="0" applyNumberFormat="1" applyFont="1"/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]_#6 Temps &amp; Contractors" xfId="9" xr:uid="{00000000-0005-0000-0000-000008000000}"/>
    <cellStyle name="Comma [00]" xfId="10" xr:uid="{00000000-0005-0000-0000-000009000000}"/>
    <cellStyle name="Comma_#6 Temps &amp; Contractors" xfId="11" xr:uid="{00000000-0005-0000-0000-00000A000000}"/>
    <cellStyle name="Currency [0]_#6 Temps &amp; Contractors" xfId="12" xr:uid="{00000000-0005-0000-0000-00000B000000}"/>
    <cellStyle name="Currency [00]" xfId="13" xr:uid="{00000000-0005-0000-0000-00000C000000}"/>
    <cellStyle name="Currency_#6 Temps &amp; Contractors" xfId="14" xr:uid="{00000000-0005-0000-0000-00000D000000}"/>
    <cellStyle name="Date Short" xfId="15" xr:uid="{00000000-0005-0000-0000-00000F000000}"/>
    <cellStyle name="Enter Currency (0)" xfId="16" xr:uid="{00000000-0005-0000-0000-000010000000}"/>
    <cellStyle name="Enter Currency (2)" xfId="17" xr:uid="{00000000-0005-0000-0000-000011000000}"/>
    <cellStyle name="Enter Units (0)" xfId="18" xr:uid="{00000000-0005-0000-0000-000012000000}"/>
    <cellStyle name="Enter Units (1)" xfId="19" xr:uid="{00000000-0005-0000-0000-000013000000}"/>
    <cellStyle name="Enter Units (2)" xfId="20" xr:uid="{00000000-0005-0000-0000-000014000000}"/>
    <cellStyle name="Grey" xfId="21" xr:uid="{00000000-0005-0000-0000-000015000000}"/>
    <cellStyle name="Header1" xfId="22" xr:uid="{00000000-0005-0000-0000-000016000000}"/>
    <cellStyle name="Header2" xfId="23" xr:uid="{00000000-0005-0000-0000-000017000000}"/>
    <cellStyle name="Input [yellow]" xfId="24" xr:uid="{00000000-0005-0000-0000-000018000000}"/>
    <cellStyle name="Link Currency (0)" xfId="25" xr:uid="{00000000-0005-0000-0000-000019000000}"/>
    <cellStyle name="Link Currency (2)" xfId="26" xr:uid="{00000000-0005-0000-0000-00001A000000}"/>
    <cellStyle name="Link Units (0)" xfId="27" xr:uid="{00000000-0005-0000-0000-00001B000000}"/>
    <cellStyle name="Link Units (1)" xfId="28" xr:uid="{00000000-0005-0000-0000-00001C000000}"/>
    <cellStyle name="Link Units (2)" xfId="29" xr:uid="{00000000-0005-0000-0000-00001D000000}"/>
    <cellStyle name="Normal - Style1" xfId="30" xr:uid="{00000000-0005-0000-0000-00001F000000}"/>
    <cellStyle name="Normal_# 41-Market &amp;Trends" xfId="31" xr:uid="{00000000-0005-0000-0000-000020000000}"/>
    <cellStyle name="Normální" xfId="0" builtinId="0"/>
    <cellStyle name="Percent [0]" xfId="32" xr:uid="{00000000-0005-0000-0000-000023000000}"/>
    <cellStyle name="Percent [00]" xfId="33" xr:uid="{00000000-0005-0000-0000-000024000000}"/>
    <cellStyle name="Percent [2]" xfId="34" xr:uid="{00000000-0005-0000-0000-000025000000}"/>
    <cellStyle name="Percent_#6 Temps &amp; Contractors" xfId="35" xr:uid="{00000000-0005-0000-0000-000026000000}"/>
    <cellStyle name="PrePop Currency (0)" xfId="36" xr:uid="{00000000-0005-0000-0000-000027000000}"/>
    <cellStyle name="PrePop Currency (2)" xfId="37" xr:uid="{00000000-0005-0000-0000-000028000000}"/>
    <cellStyle name="PrePop Units (0)" xfId="38" xr:uid="{00000000-0005-0000-0000-000029000000}"/>
    <cellStyle name="PrePop Units (1)" xfId="39" xr:uid="{00000000-0005-0000-0000-00002A000000}"/>
    <cellStyle name="PrePop Units (2)" xfId="40" xr:uid="{00000000-0005-0000-0000-00002B000000}"/>
    <cellStyle name="Procenta" xfId="41" builtinId="5"/>
    <cellStyle name="Text Indent A" xfId="42" xr:uid="{00000000-0005-0000-0000-00002D000000}"/>
    <cellStyle name="Text Indent B" xfId="43" xr:uid="{00000000-0005-0000-0000-00002E000000}"/>
    <cellStyle name="Text Indent C" xfId="4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zoomScaleNormal="100" workbookViewId="0">
      <selection activeCell="E17" sqref="E17"/>
    </sheetView>
  </sheetViews>
  <sheetFormatPr defaultRowHeight="12.75" x14ac:dyDescent="0.2"/>
  <cols>
    <col min="1" max="1" width="98.5703125" customWidth="1"/>
  </cols>
  <sheetData>
    <row r="1" spans="1:1" ht="27.75" x14ac:dyDescent="0.4">
      <c r="A1" s="39" t="s">
        <v>57</v>
      </c>
    </row>
    <row r="2" spans="1:1" x14ac:dyDescent="0.2">
      <c r="A2" s="3" t="s">
        <v>50</v>
      </c>
    </row>
    <row r="4" spans="1:1" x14ac:dyDescent="0.2">
      <c r="A4" t="s">
        <v>51</v>
      </c>
    </row>
    <row r="6" spans="1:1" x14ac:dyDescent="0.2">
      <c r="A6" t="s">
        <v>52</v>
      </c>
    </row>
    <row r="8" spans="1:1" x14ac:dyDescent="0.2">
      <c r="A8" t="s">
        <v>53</v>
      </c>
    </row>
    <row r="10" spans="1:1" x14ac:dyDescent="0.2">
      <c r="A10" t="s">
        <v>54</v>
      </c>
    </row>
    <row r="11" spans="1:1" ht="6" customHeight="1" x14ac:dyDescent="0.2"/>
    <row r="12" spans="1:1" ht="76.5" customHeight="1" x14ac:dyDescent="0.25">
      <c r="A12" s="40" t="s">
        <v>55</v>
      </c>
    </row>
    <row r="15" spans="1:1" ht="23.25" x14ac:dyDescent="0.35">
      <c r="A15" s="36" t="s">
        <v>56</v>
      </c>
    </row>
    <row r="17" spans="1:1" ht="34.5" x14ac:dyDescent="0.2">
      <c r="A17" s="37" t="s">
        <v>64</v>
      </c>
    </row>
    <row r="18" spans="1:1" ht="14.25" x14ac:dyDescent="0.2">
      <c r="A18" s="38"/>
    </row>
    <row r="19" spans="1:1" ht="34.5" x14ac:dyDescent="0.2">
      <c r="A19" s="37" t="s">
        <v>65</v>
      </c>
    </row>
    <row r="20" spans="1:1" ht="14.25" x14ac:dyDescent="0.2">
      <c r="A20" s="38"/>
    </row>
    <row r="21" spans="1:1" ht="20.25" x14ac:dyDescent="0.3">
      <c r="A21" s="38" t="s">
        <v>61</v>
      </c>
    </row>
    <row r="22" spans="1:1" ht="14.25" x14ac:dyDescent="0.2">
      <c r="A22" s="38"/>
    </row>
    <row r="23" spans="1:1" ht="18" x14ac:dyDescent="0.25">
      <c r="A23" s="38" t="s">
        <v>62</v>
      </c>
    </row>
    <row r="24" spans="1:1" ht="14.25" x14ac:dyDescent="0.2">
      <c r="A24" s="38"/>
    </row>
    <row r="25" spans="1:1" ht="18" x14ac:dyDescent="0.25">
      <c r="A25" s="38" t="s">
        <v>63</v>
      </c>
    </row>
    <row r="26" spans="1:1" ht="14.25" x14ac:dyDescent="0.2">
      <c r="A26" s="38"/>
    </row>
    <row r="27" spans="1:1" ht="28.5" x14ac:dyDescent="0.2">
      <c r="A27" s="37" t="s">
        <v>58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6"/>
  <sheetViews>
    <sheetView topLeftCell="A26" zoomScaleNormal="100" workbookViewId="0">
      <selection activeCell="L35" sqref="L35"/>
    </sheetView>
  </sheetViews>
  <sheetFormatPr defaultRowHeight="12.75" x14ac:dyDescent="0.2"/>
  <cols>
    <col min="2" max="2" width="13.7109375" bestFit="1" customWidth="1"/>
    <col min="3" max="3" width="13.42578125" customWidth="1"/>
    <col min="13" max="13" width="17.140625" customWidth="1"/>
    <col min="14" max="14" width="12" bestFit="1" customWidth="1"/>
    <col min="15" max="15" width="10.7109375" bestFit="1" customWidth="1"/>
    <col min="18" max="18" width="17.7109375" bestFit="1" customWidth="1"/>
  </cols>
  <sheetData>
    <row r="2" spans="2:19" x14ac:dyDescent="0.2">
      <c r="B2" s="3" t="s">
        <v>31</v>
      </c>
    </row>
    <row r="3" spans="2:19" ht="13.5" thickBot="1" x14ac:dyDescent="0.25"/>
    <row r="4" spans="2:19" ht="69.75" customHeight="1" thickBot="1" x14ac:dyDescent="0.25">
      <c r="B4" s="89" t="s">
        <v>59</v>
      </c>
      <c r="C4" s="90"/>
      <c r="D4" s="90"/>
      <c r="E4" s="90"/>
      <c r="F4" s="90"/>
      <c r="G4" s="90"/>
      <c r="H4" s="90"/>
      <c r="I4" s="90"/>
      <c r="J4" s="91"/>
      <c r="M4" s="3" t="s">
        <v>6</v>
      </c>
      <c r="R4" s="92" t="s">
        <v>76</v>
      </c>
      <c r="S4" s="92"/>
    </row>
    <row r="7" spans="2:19" ht="18" x14ac:dyDescent="0.25">
      <c r="M7" s="41" t="s">
        <v>0</v>
      </c>
      <c r="N7" s="42">
        <v>9000</v>
      </c>
      <c r="O7">
        <v>9000</v>
      </c>
      <c r="R7" s="41" t="s">
        <v>0</v>
      </c>
      <c r="S7" s="54">
        <v>9000</v>
      </c>
    </row>
    <row r="8" spans="2:19" ht="18" x14ac:dyDescent="0.25">
      <c r="M8" s="41" t="s">
        <v>5</v>
      </c>
      <c r="N8" s="42">
        <v>-1000</v>
      </c>
      <c r="O8">
        <v>-1000</v>
      </c>
      <c r="R8" s="41" t="s">
        <v>5</v>
      </c>
      <c r="S8" s="54">
        <v>-1000</v>
      </c>
    </row>
    <row r="9" spans="2:19" ht="18" x14ac:dyDescent="0.25">
      <c r="M9" s="41" t="s">
        <v>3</v>
      </c>
      <c r="N9" s="42">
        <v>10</v>
      </c>
      <c r="O9">
        <v>10</v>
      </c>
      <c r="R9" s="41" t="s">
        <v>3</v>
      </c>
      <c r="S9" s="54">
        <v>10</v>
      </c>
    </row>
    <row r="10" spans="2:19" ht="18" x14ac:dyDescent="0.25">
      <c r="M10" s="41" t="s">
        <v>22</v>
      </c>
      <c r="N10" s="43"/>
      <c r="O10" s="49">
        <f>RATE(O9,O8,O7)*12</f>
        <v>0.23555975741116375</v>
      </c>
      <c r="R10" s="41" t="s">
        <v>22</v>
      </c>
      <c r="S10" s="55">
        <f>RATE(S9,S8,S7)*12</f>
        <v>0.23555975741116375</v>
      </c>
    </row>
    <row r="11" spans="2:19" ht="13.5" thickBot="1" x14ac:dyDescent="0.25"/>
    <row r="12" spans="2:19" ht="33" customHeight="1" thickBot="1" x14ac:dyDescent="0.25">
      <c r="B12" s="89" t="s">
        <v>71</v>
      </c>
      <c r="C12" s="90"/>
      <c r="D12" s="90"/>
      <c r="E12" s="90"/>
      <c r="F12" s="90"/>
      <c r="G12" s="90"/>
      <c r="H12" s="90"/>
      <c r="I12" s="90"/>
      <c r="J12" s="91"/>
    </row>
    <row r="14" spans="2:19" ht="18" x14ac:dyDescent="0.25">
      <c r="M14" s="41" t="s">
        <v>0</v>
      </c>
      <c r="N14" s="42">
        <v>15000</v>
      </c>
      <c r="O14">
        <v>15000</v>
      </c>
      <c r="R14" s="41" t="s">
        <v>0</v>
      </c>
      <c r="S14" s="54">
        <v>16500</v>
      </c>
    </row>
    <row r="15" spans="2:19" ht="18" x14ac:dyDescent="0.25">
      <c r="M15" s="41" t="s">
        <v>5</v>
      </c>
      <c r="N15" s="42">
        <v>-1000</v>
      </c>
      <c r="O15">
        <v>-1000</v>
      </c>
      <c r="R15" s="41" t="s">
        <v>5</v>
      </c>
      <c r="S15" s="54">
        <v>-1000</v>
      </c>
    </row>
    <row r="16" spans="2:19" ht="18" x14ac:dyDescent="0.25">
      <c r="M16" s="41" t="s">
        <v>3</v>
      </c>
      <c r="N16" s="42">
        <v>17</v>
      </c>
      <c r="O16">
        <v>17</v>
      </c>
      <c r="R16" s="41" t="s">
        <v>3</v>
      </c>
      <c r="S16" s="54">
        <v>17</v>
      </c>
    </row>
    <row r="17" spans="2:19" ht="18" x14ac:dyDescent="0.25">
      <c r="M17" s="41" t="s">
        <v>22</v>
      </c>
      <c r="N17" s="43">
        <f>RATE(N16,N15,N14)*12</f>
        <v>0.17130868725652706</v>
      </c>
      <c r="O17" s="49">
        <f>RATE(O16,O15,O14)*12</f>
        <v>0.17130868725652706</v>
      </c>
      <c r="R17" s="41" t="s">
        <v>22</v>
      </c>
      <c r="S17" s="55">
        <f>RATE(S16,S15,S14)*12</f>
        <v>4.0048239253613574E-2</v>
      </c>
    </row>
    <row r="22" spans="2:19" x14ac:dyDescent="0.2">
      <c r="D22" s="1"/>
    </row>
    <row r="23" spans="2:19" x14ac:dyDescent="0.2">
      <c r="G23" t="s">
        <v>1</v>
      </c>
      <c r="K23" s="13"/>
    </row>
    <row r="24" spans="2:19" x14ac:dyDescent="0.2">
      <c r="B24" s="3" t="s">
        <v>4</v>
      </c>
    </row>
    <row r="25" spans="2:19" ht="13.5" thickBot="1" x14ac:dyDescent="0.25"/>
    <row r="26" spans="2:19" ht="130.5" customHeight="1" thickBot="1" x14ac:dyDescent="0.25">
      <c r="B26" s="89" t="s">
        <v>72</v>
      </c>
      <c r="C26" s="90"/>
      <c r="D26" s="90"/>
      <c r="E26" s="90"/>
      <c r="F26" s="90"/>
      <c r="G26" s="90"/>
      <c r="H26" s="90"/>
      <c r="I26" s="90"/>
      <c r="J26" s="91"/>
      <c r="M26" s="51" t="s">
        <v>73</v>
      </c>
    </row>
    <row r="27" spans="2:19" x14ac:dyDescent="0.2">
      <c r="M27" s="53">
        <f>RATE(36,-9000,280000-50000,-5000)*12</f>
        <v>0.24592429594137494</v>
      </c>
    </row>
    <row r="29" spans="2:19" ht="20.25" x14ac:dyDescent="0.3">
      <c r="B29" s="44" t="s">
        <v>8</v>
      </c>
      <c r="C29" s="45">
        <f>RATE(36,-7000,300000-80000,-1000)*12</f>
        <v>9.275641291426906E-2</v>
      </c>
      <c r="E29" s="48">
        <f>RATE(36,-7000,300000-80000,-1000)*12</f>
        <v>9.275641291426906E-2</v>
      </c>
    </row>
    <row r="30" spans="2:19" ht="20.25" x14ac:dyDescent="0.3">
      <c r="B30" s="44" t="s">
        <v>14</v>
      </c>
      <c r="C30" s="45">
        <f>RATE(48,-5000,300000-70000,-10000)*12</f>
        <v>3.9932067676229227E-2</v>
      </c>
      <c r="E30" s="48">
        <f>RATE(48,-5000,300000-70000,-10000)*12</f>
        <v>3.9932067676229227E-2</v>
      </c>
    </row>
    <row r="32" spans="2:19" ht="13.5" thickBot="1" x14ac:dyDescent="0.25"/>
    <row r="33" spans="2:10" ht="112.5" customHeight="1" thickBot="1" x14ac:dyDescent="0.25">
      <c r="B33" s="89" t="s">
        <v>68</v>
      </c>
      <c r="C33" s="90"/>
      <c r="D33" s="90"/>
      <c r="E33" s="90"/>
      <c r="F33" s="90"/>
      <c r="G33" s="90"/>
      <c r="H33" s="90"/>
      <c r="I33" s="90"/>
      <c r="J33" s="91"/>
    </row>
    <row r="35" spans="2:10" x14ac:dyDescent="0.2">
      <c r="B35" t="s">
        <v>8</v>
      </c>
      <c r="C35" s="46">
        <f>RATE(36,-35000,1300000-300000,-1000)*12</f>
        <v>0.15726017127379224</v>
      </c>
    </row>
    <row r="36" spans="2:10" x14ac:dyDescent="0.2">
      <c r="B36" t="s">
        <v>14</v>
      </c>
      <c r="C36" s="46">
        <f>RATE(48,-26000,1300000-100000,-1000)*12</f>
        <v>1.9730552630470924E-2</v>
      </c>
    </row>
  </sheetData>
  <mergeCells count="5">
    <mergeCell ref="B4:J4"/>
    <mergeCell ref="B26:J26"/>
    <mergeCell ref="B12:J12"/>
    <mergeCell ref="B33:J33"/>
    <mergeCell ref="R4:S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0"/>
  <sheetViews>
    <sheetView topLeftCell="A34" zoomScaleNormal="100" workbookViewId="0">
      <selection activeCell="B71" sqref="B71"/>
    </sheetView>
  </sheetViews>
  <sheetFormatPr defaultRowHeight="12.75" x14ac:dyDescent="0.2"/>
  <cols>
    <col min="2" max="3" width="22" customWidth="1"/>
    <col min="5" max="5" width="11.5703125" bestFit="1" customWidth="1"/>
    <col min="6" max="6" width="22.5703125" customWidth="1"/>
    <col min="9" max="9" width="13.7109375" bestFit="1" customWidth="1"/>
    <col min="10" max="10" width="12.5703125" bestFit="1" customWidth="1"/>
    <col min="11" max="11" width="16.28515625" bestFit="1" customWidth="1"/>
  </cols>
  <sheetData>
    <row r="2" spans="2:10" x14ac:dyDescent="0.2">
      <c r="B2" s="20" t="s">
        <v>26</v>
      </c>
    </row>
    <row r="3" spans="2:10" ht="13.5" thickBot="1" x14ac:dyDescent="0.25">
      <c r="B3" s="20"/>
    </row>
    <row r="4" spans="2:10" ht="30.75" customHeight="1" thickBot="1" x14ac:dyDescent="0.25">
      <c r="B4" s="89" t="s">
        <v>27</v>
      </c>
      <c r="C4" s="90"/>
      <c r="D4" s="90"/>
      <c r="E4" s="90"/>
      <c r="F4" s="90"/>
      <c r="G4" s="90"/>
      <c r="H4" s="90"/>
      <c r="I4" s="90"/>
      <c r="J4" s="91"/>
    </row>
    <row r="5" spans="2:10" ht="13.5" thickBot="1" x14ac:dyDescent="0.25">
      <c r="B5" s="20"/>
    </row>
    <row r="6" spans="2:10" x14ac:dyDescent="0.2">
      <c r="B6" s="4" t="s">
        <v>19</v>
      </c>
      <c r="C6" s="56">
        <f>16%/12</f>
        <v>1.3333333333333334E-2</v>
      </c>
    </row>
    <row r="7" spans="2:10" x14ac:dyDescent="0.2">
      <c r="B7" s="7" t="s">
        <v>20</v>
      </c>
      <c r="C7" s="59">
        <v>20000</v>
      </c>
    </row>
    <row r="8" spans="2:10" ht="13.5" thickBot="1" x14ac:dyDescent="0.25">
      <c r="B8" s="10" t="s">
        <v>30</v>
      </c>
      <c r="C8" s="57">
        <v>24</v>
      </c>
    </row>
    <row r="9" spans="2:10" ht="13.5" thickBot="1" x14ac:dyDescent="0.25"/>
    <row r="10" spans="2:10" ht="13.5" thickBot="1" x14ac:dyDescent="0.25">
      <c r="B10" s="17" t="s">
        <v>21</v>
      </c>
      <c r="C10" s="27">
        <f>PMT(C6,C8,C7)</f>
        <v>-979.26221035220101</v>
      </c>
      <c r="E10" t="s">
        <v>66</v>
      </c>
      <c r="F10" s="2">
        <f>C10*C8</f>
        <v>-23502.293048452826</v>
      </c>
      <c r="I10" s="50">
        <f>PMT(16%/12,24,20000)</f>
        <v>-979.26221035220101</v>
      </c>
      <c r="J10" s="2">
        <f>I10*C8</f>
        <v>-23502.293048452826</v>
      </c>
    </row>
    <row r="12" spans="2:10" x14ac:dyDescent="0.2">
      <c r="B12" s="20"/>
    </row>
    <row r="13" spans="2:10" x14ac:dyDescent="0.2">
      <c r="B13" s="20" t="s">
        <v>28</v>
      </c>
    </row>
    <row r="14" spans="2:10" ht="13.5" thickBot="1" x14ac:dyDescent="0.25">
      <c r="B14" s="21"/>
    </row>
    <row r="15" spans="2:10" ht="52.5" customHeight="1" thickBot="1" x14ac:dyDescent="0.25">
      <c r="B15" s="89" t="s">
        <v>29</v>
      </c>
      <c r="C15" s="90"/>
      <c r="D15" s="90"/>
      <c r="E15" s="90"/>
      <c r="F15" s="90"/>
      <c r="G15" s="90"/>
      <c r="H15" s="90"/>
      <c r="I15" s="90"/>
      <c r="J15" s="91"/>
    </row>
    <row r="16" spans="2:10" x14ac:dyDescent="0.2">
      <c r="B16" s="21"/>
    </row>
    <row r="17" spans="2:11" ht="13.5" thickBot="1" x14ac:dyDescent="0.25">
      <c r="B17" s="22" t="s">
        <v>1</v>
      </c>
    </row>
    <row r="18" spans="2:11" x14ac:dyDescent="0.2">
      <c r="B18" s="4" t="s">
        <v>19</v>
      </c>
      <c r="C18" s="56">
        <v>0.03</v>
      </c>
    </row>
    <row r="19" spans="2:11" x14ac:dyDescent="0.2">
      <c r="B19" s="7" t="s">
        <v>33</v>
      </c>
      <c r="C19" s="59">
        <v>1000000</v>
      </c>
      <c r="F19" s="2">
        <f>PMT(3%,20,,1000000)/12</f>
        <v>-3101.3089664049271</v>
      </c>
      <c r="I19" s="2">
        <f>20*12*F19</f>
        <v>-744314.15193718253</v>
      </c>
    </row>
    <row r="20" spans="2:11" ht="13.5" thickBot="1" x14ac:dyDescent="0.25">
      <c r="B20" s="10" t="s">
        <v>32</v>
      </c>
      <c r="C20" s="57">
        <v>20</v>
      </c>
    </row>
    <row r="21" spans="2:11" ht="13.5" thickBot="1" x14ac:dyDescent="0.25">
      <c r="E21" s="2"/>
    </row>
    <row r="22" spans="2:11" ht="13.5" thickBot="1" x14ac:dyDescent="0.25">
      <c r="B22" s="17" t="s">
        <v>21</v>
      </c>
      <c r="C22" s="27">
        <f>PMT(C18,C20,,C19)/12</f>
        <v>-3101.3089664049271</v>
      </c>
      <c r="E22" t="s">
        <v>67</v>
      </c>
      <c r="F22" s="2">
        <f>C22*12*20</f>
        <v>-744314.15193718253</v>
      </c>
      <c r="I22" s="50">
        <f>PMT(3%,20,1000000)</f>
        <v>-67215.707596859123</v>
      </c>
      <c r="K22" s="2">
        <f>I22*12*20</f>
        <v>-16131769.823246188</v>
      </c>
    </row>
    <row r="24" spans="2:11" x14ac:dyDescent="0.2">
      <c r="B24" s="3" t="s">
        <v>34</v>
      </c>
    </row>
    <row r="26" spans="2:11" x14ac:dyDescent="0.2">
      <c r="B26" s="20" t="s">
        <v>37</v>
      </c>
    </row>
    <row r="28" spans="2:11" x14ac:dyDescent="0.2">
      <c r="B28" s="20" t="s">
        <v>35</v>
      </c>
    </row>
    <row r="29" spans="2:11" ht="13.5" thickBot="1" x14ac:dyDescent="0.25">
      <c r="B29" s="13"/>
    </row>
    <row r="30" spans="2:11" x14ac:dyDescent="0.2">
      <c r="B30" s="15" t="s">
        <v>36</v>
      </c>
      <c r="C30" s="59">
        <v>300000</v>
      </c>
    </row>
    <row r="31" spans="2:11" x14ac:dyDescent="0.2">
      <c r="B31" s="23" t="s">
        <v>38</v>
      </c>
      <c r="C31" s="59">
        <v>100000</v>
      </c>
    </row>
    <row r="32" spans="2:11" x14ac:dyDescent="0.2">
      <c r="B32" s="23" t="s">
        <v>39</v>
      </c>
      <c r="C32" s="57">
        <v>36</v>
      </c>
    </row>
    <row r="33" spans="2:8" x14ac:dyDescent="0.2">
      <c r="B33" s="23" t="s">
        <v>40</v>
      </c>
      <c r="C33" s="59">
        <v>80000</v>
      </c>
    </row>
    <row r="34" spans="2:8" ht="13.5" thickBot="1" x14ac:dyDescent="0.25">
      <c r="B34" s="19" t="s">
        <v>41</v>
      </c>
      <c r="C34" s="58">
        <v>0.13</v>
      </c>
    </row>
    <row r="37" spans="2:8" x14ac:dyDescent="0.2">
      <c r="B37" s="3" t="s">
        <v>42</v>
      </c>
    </row>
    <row r="38" spans="2:8" x14ac:dyDescent="0.2">
      <c r="B38" s="20" t="s">
        <v>1</v>
      </c>
    </row>
    <row r="39" spans="2:8" x14ac:dyDescent="0.2">
      <c r="C39" s="27">
        <f>PMT(C34,C32,C30-C31,-C33)</f>
        <v>-26193.939605372048</v>
      </c>
      <c r="E39" s="3"/>
      <c r="F39" s="3"/>
    </row>
    <row r="41" spans="2:8" x14ac:dyDescent="0.2">
      <c r="B41" s="3" t="s">
        <v>43</v>
      </c>
    </row>
    <row r="42" spans="2:8" x14ac:dyDescent="0.2">
      <c r="B42" s="20" t="s">
        <v>1</v>
      </c>
      <c r="C42" s="27">
        <f>PMT(C34,C32,C30-C31)</f>
        <v>-26323.232675620086</v>
      </c>
      <c r="E42" s="93"/>
      <c r="F42" s="93"/>
      <c r="G42" s="93"/>
      <c r="H42" s="93"/>
    </row>
    <row r="43" spans="2:8" x14ac:dyDescent="0.2">
      <c r="B43" t="s">
        <v>1</v>
      </c>
    </row>
    <row r="45" spans="2:8" x14ac:dyDescent="0.2">
      <c r="B45" t="s">
        <v>69</v>
      </c>
    </row>
    <row r="46" spans="2:8" ht="13.5" thickBot="1" x14ac:dyDescent="0.25">
      <c r="B46" s="20" t="s">
        <v>1</v>
      </c>
    </row>
    <row r="47" spans="2:8" x14ac:dyDescent="0.2">
      <c r="B47" s="4" t="s">
        <v>19</v>
      </c>
      <c r="C47" s="58">
        <v>2.1000000000000001E-2</v>
      </c>
    </row>
    <row r="48" spans="2:8" x14ac:dyDescent="0.2">
      <c r="B48" s="7" t="s">
        <v>33</v>
      </c>
      <c r="C48" s="59">
        <v>1600000</v>
      </c>
    </row>
    <row r="49" spans="2:6" ht="13.5" thickBot="1" x14ac:dyDescent="0.25">
      <c r="B49" s="10" t="s">
        <v>32</v>
      </c>
      <c r="C49" s="57">
        <v>30</v>
      </c>
    </row>
    <row r="50" spans="2:6" ht="13.5" thickBot="1" x14ac:dyDescent="0.25">
      <c r="E50" s="2"/>
    </row>
    <row r="51" spans="2:6" ht="13.5" thickBot="1" x14ac:dyDescent="0.25">
      <c r="B51" s="17" t="s">
        <v>21</v>
      </c>
      <c r="C51" s="27">
        <f>PMT(C47,C49,,C48)/12</f>
        <v>-3235.4933756581145</v>
      </c>
      <c r="E51" t="s">
        <v>67</v>
      </c>
      <c r="F51" s="2">
        <f>C51*12*30</f>
        <v>-1164777.6152369212</v>
      </c>
    </row>
    <row r="54" spans="2:6" x14ac:dyDescent="0.2">
      <c r="B54" t="s">
        <v>75</v>
      </c>
    </row>
    <row r="56" spans="2:6" x14ac:dyDescent="0.2">
      <c r="B56" s="50"/>
    </row>
    <row r="69" spans="2:2" x14ac:dyDescent="0.2">
      <c r="B69" t="s">
        <v>77</v>
      </c>
    </row>
    <row r="70" spans="2:2" x14ac:dyDescent="0.2">
      <c r="B70" s="2">
        <f>PMT(4.5%/12,5*12,-2000,250000)</f>
        <v>-3685.9687718961295</v>
      </c>
    </row>
  </sheetData>
  <mergeCells count="3">
    <mergeCell ref="B4:J4"/>
    <mergeCell ref="B15:J15"/>
    <mergeCell ref="E42:H42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0"/>
  <sheetViews>
    <sheetView topLeftCell="B1" zoomScaleNormal="100" workbookViewId="0">
      <selection activeCell="K18" sqref="K18:M18"/>
    </sheetView>
  </sheetViews>
  <sheetFormatPr defaultRowHeight="12.75" x14ac:dyDescent="0.2"/>
  <cols>
    <col min="3" max="3" width="14.140625" bestFit="1" customWidth="1"/>
    <col min="4" max="6" width="12.5703125" bestFit="1" customWidth="1"/>
    <col min="8" max="8" width="12.5703125" bestFit="1" customWidth="1"/>
    <col min="11" max="11" width="22.42578125" customWidth="1"/>
    <col min="12" max="12" width="17.28515625" customWidth="1"/>
    <col min="13" max="13" width="20.28515625" customWidth="1"/>
    <col min="15" max="15" width="3" bestFit="1" customWidth="1"/>
    <col min="16" max="16" width="15.28515625" bestFit="1" customWidth="1"/>
    <col min="17" max="17" width="13.7109375" bestFit="1" customWidth="1"/>
    <col min="18" max="18" width="15.28515625" bestFit="1" customWidth="1"/>
  </cols>
  <sheetData>
    <row r="1" spans="1:13" x14ac:dyDescent="0.2">
      <c r="A1" t="s">
        <v>1</v>
      </c>
      <c r="B1" s="3" t="s">
        <v>24</v>
      </c>
    </row>
    <row r="2" spans="1:13" x14ac:dyDescent="0.2">
      <c r="B2" s="3" t="s">
        <v>25</v>
      </c>
    </row>
    <row r="3" spans="1:13" ht="13.5" thickBot="1" x14ac:dyDescent="0.25">
      <c r="A3" t="s">
        <v>23</v>
      </c>
      <c r="B3" t="s">
        <v>1</v>
      </c>
      <c r="C3" t="s">
        <v>1</v>
      </c>
    </row>
    <row r="4" spans="1:13" ht="13.5" thickBot="1" x14ac:dyDescent="0.25">
      <c r="A4" t="s">
        <v>1</v>
      </c>
      <c r="B4" s="4" t="s">
        <v>9</v>
      </c>
      <c r="C4" s="25">
        <v>5</v>
      </c>
      <c r="D4" t="s">
        <v>1</v>
      </c>
      <c r="J4" s="18" t="s">
        <v>12</v>
      </c>
      <c r="K4" s="31" t="s">
        <v>5</v>
      </c>
      <c r="L4" s="18" t="s">
        <v>13</v>
      </c>
      <c r="M4" s="32" t="s">
        <v>2</v>
      </c>
    </row>
    <row r="5" spans="1:13" x14ac:dyDescent="0.2">
      <c r="A5" t="s">
        <v>1</v>
      </c>
      <c r="B5" s="7" t="s">
        <v>10</v>
      </c>
      <c r="C5" s="59">
        <v>100000</v>
      </c>
      <c r="J5" s="14">
        <v>1</v>
      </c>
      <c r="K5" s="60">
        <f>PMT($C$6,$C$4,$C$5)</f>
        <v>-27740.973194104892</v>
      </c>
      <c r="L5" s="60">
        <f>PPMT($C$6,J5,$C$4,$C$5)</f>
        <v>-15740.973194104889</v>
      </c>
      <c r="M5" s="60">
        <f>IPMT($C$6,J5,$C$4,$C$5)</f>
        <v>-12000</v>
      </c>
    </row>
    <row r="6" spans="1:13" ht="13.5" thickBot="1" x14ac:dyDescent="0.25">
      <c r="A6" t="s">
        <v>1</v>
      </c>
      <c r="B6" s="10" t="s">
        <v>11</v>
      </c>
      <c r="C6" s="26">
        <v>0.12</v>
      </c>
      <c r="J6" s="14">
        <v>2</v>
      </c>
      <c r="K6" s="60">
        <f t="shared" ref="K6:K9" si="0">PMT($C$6,$C$4,$C$5)</f>
        <v>-27740.973194104892</v>
      </c>
      <c r="L6" s="60">
        <f t="shared" ref="L6:L9" si="1">PPMT($C$6,J6,$C$4,$C$5)</f>
        <v>-17629.889977397477</v>
      </c>
      <c r="M6" s="60">
        <f t="shared" ref="M6:M9" si="2">IPMT($C$6,J6,$C$4,$C$5)</f>
        <v>-10111.083216707413</v>
      </c>
    </row>
    <row r="7" spans="1:13" x14ac:dyDescent="0.2">
      <c r="J7" s="14">
        <v>3</v>
      </c>
      <c r="K7" s="60">
        <f t="shared" si="0"/>
        <v>-27740.973194104892</v>
      </c>
      <c r="L7" s="60">
        <f t="shared" si="1"/>
        <v>-19745.476774685172</v>
      </c>
      <c r="M7" s="60">
        <f t="shared" si="2"/>
        <v>-7995.4964194197173</v>
      </c>
    </row>
    <row r="8" spans="1:13" ht="13.5" thickBot="1" x14ac:dyDescent="0.25">
      <c r="J8" s="14">
        <v>4</v>
      </c>
      <c r="K8" s="60">
        <f t="shared" si="0"/>
        <v>-27740.973194104892</v>
      </c>
      <c r="L8" s="60">
        <f t="shared" si="1"/>
        <v>-22114.933987647397</v>
      </c>
      <c r="M8" s="60">
        <f t="shared" si="2"/>
        <v>-5626.0392064574962</v>
      </c>
    </row>
    <row r="9" spans="1:13" ht="13.5" thickBot="1" x14ac:dyDescent="0.25">
      <c r="B9" s="18" t="s">
        <v>12</v>
      </c>
      <c r="C9" s="31" t="s">
        <v>5</v>
      </c>
      <c r="D9" s="18" t="s">
        <v>13</v>
      </c>
      <c r="E9" s="32" t="s">
        <v>2</v>
      </c>
      <c r="H9" s="2"/>
      <c r="J9" s="16">
        <v>5</v>
      </c>
      <c r="K9" s="60">
        <f t="shared" si="0"/>
        <v>-27740.973194104892</v>
      </c>
      <c r="L9" s="60">
        <f t="shared" si="1"/>
        <v>-24768.726066165083</v>
      </c>
      <c r="M9" s="60">
        <f t="shared" si="2"/>
        <v>-2972.2471279398096</v>
      </c>
    </row>
    <row r="10" spans="1:13" x14ac:dyDescent="0.2">
      <c r="A10" t="s">
        <v>1</v>
      </c>
      <c r="B10" s="14">
        <v>1</v>
      </c>
      <c r="C10" s="47">
        <f>PMT($C$6,$C$4,$C$5)</f>
        <v>-27740.973194104892</v>
      </c>
      <c r="D10" s="28">
        <f>PPMT($C$6,B10,$C$4,$C$5)</f>
        <v>-15740.973194104889</v>
      </c>
      <c r="E10" s="28">
        <f>IPMT($C$6,B10,$C$4,$C$5)</f>
        <v>-12000</v>
      </c>
      <c r="H10" s="2"/>
      <c r="K10" s="61">
        <f>SUM(K5:K9)</f>
        <v>-138704.86597052446</v>
      </c>
      <c r="L10" s="61">
        <f>SUM(L5:L9)</f>
        <v>-100000.00000000001</v>
      </c>
      <c r="M10" s="61">
        <f>SUM(M5:M9)</f>
        <v>-38704.865970524435</v>
      </c>
    </row>
    <row r="11" spans="1:13" x14ac:dyDescent="0.2">
      <c r="A11" t="s">
        <v>1</v>
      </c>
      <c r="B11" s="14">
        <v>2</v>
      </c>
      <c r="C11" s="47">
        <f t="shared" ref="C11:C14" si="3">PMT($C$6,$C$4,$C$5)</f>
        <v>-27740.973194104892</v>
      </c>
      <c r="D11" s="28">
        <f>PPMT($C$6,B11,$C$4,$C$5)</f>
        <v>-17629.889977397477</v>
      </c>
      <c r="E11" s="28">
        <f>IPMT($C$6,B11,$C$4,$C$5)</f>
        <v>-10111.083216707413</v>
      </c>
      <c r="H11" s="2"/>
    </row>
    <row r="12" spans="1:13" x14ac:dyDescent="0.2">
      <c r="A12" t="s">
        <v>1</v>
      </c>
      <c r="B12" s="14">
        <v>3</v>
      </c>
      <c r="C12" s="47">
        <f t="shared" si="3"/>
        <v>-27740.973194104892</v>
      </c>
      <c r="D12" s="28">
        <f>PPMT($C$6,B12,$C$4,$C$5)</f>
        <v>-19745.476774685172</v>
      </c>
      <c r="E12" s="28">
        <f>IPMT($C$6,B12,$C$4,$C$5)</f>
        <v>-7995.4964194197173</v>
      </c>
    </row>
    <row r="13" spans="1:13" x14ac:dyDescent="0.2">
      <c r="A13" t="s">
        <v>1</v>
      </c>
      <c r="B13" s="14">
        <v>4</v>
      </c>
      <c r="C13" s="47">
        <f t="shared" si="3"/>
        <v>-27740.973194104892</v>
      </c>
      <c r="D13" s="28">
        <f>PPMT($C$6,B13,$C$4,$C$5)</f>
        <v>-22114.933987647397</v>
      </c>
      <c r="E13" s="28">
        <f>IPMT($C$6,B13,$C$4,$C$5)</f>
        <v>-5626.0392064574962</v>
      </c>
      <c r="G13" s="13"/>
    </row>
    <row r="14" spans="1:13" ht="13.5" thickBot="1" x14ac:dyDescent="0.25">
      <c r="A14" t="s">
        <v>1</v>
      </c>
      <c r="B14" s="16">
        <v>5</v>
      </c>
      <c r="C14" s="47">
        <f t="shared" si="3"/>
        <v>-27740.973194104892</v>
      </c>
      <c r="D14" s="28">
        <f>PPMT($C$6,B14,$C$4,$C$5)</f>
        <v>-24768.726066165083</v>
      </c>
      <c r="E14" s="28">
        <f>IPMT($C$6,B14,$C$4,$C$5)</f>
        <v>-2972.2471279398096</v>
      </c>
      <c r="G14" s="13"/>
    </row>
    <row r="15" spans="1:13" x14ac:dyDescent="0.2">
      <c r="C15" s="30">
        <f>SUM(C10:C14)</f>
        <v>-138704.86597052446</v>
      </c>
      <c r="D15" s="30">
        <f>SUM(D10:D14)</f>
        <v>-100000.00000000001</v>
      </c>
      <c r="E15" s="30">
        <f>SUM(E10:E14)</f>
        <v>-38704.865970524435</v>
      </c>
    </row>
    <row r="16" spans="1:13" x14ac:dyDescent="0.2">
      <c r="D16" s="30"/>
      <c r="E16" s="30"/>
      <c r="F16" s="30"/>
      <c r="L16">
        <f>K19/12</f>
        <v>-6686.8822658909439</v>
      </c>
    </row>
    <row r="17" spans="2:18" x14ac:dyDescent="0.2">
      <c r="B17" s="3" t="s">
        <v>44</v>
      </c>
    </row>
    <row r="18" spans="2:18" ht="15.75" x14ac:dyDescent="0.25">
      <c r="J18" s="24"/>
      <c r="K18" s="33" t="s">
        <v>5</v>
      </c>
      <c r="L18" s="33" t="s">
        <v>11</v>
      </c>
      <c r="M18" s="33" t="s">
        <v>13</v>
      </c>
      <c r="O18" s="24"/>
      <c r="P18" s="33" t="s">
        <v>5</v>
      </c>
      <c r="Q18" s="33" t="s">
        <v>11</v>
      </c>
      <c r="R18" s="33" t="s">
        <v>13</v>
      </c>
    </row>
    <row r="19" spans="2:18" x14ac:dyDescent="0.2">
      <c r="B19" s="3" t="s">
        <v>45</v>
      </c>
      <c r="J19" s="24">
        <v>1</v>
      </c>
      <c r="K19" s="63">
        <f>PMT(5%,20,1000000)</f>
        <v>-80242.587190691323</v>
      </c>
      <c r="L19" s="63">
        <f>IPMT(5%,J19,20,1000000)</f>
        <v>-50000</v>
      </c>
      <c r="M19" s="63">
        <f>PPMT(5%,J19,20,1000000)</f>
        <v>-30242.587190691313</v>
      </c>
      <c r="O19" s="24">
        <v>1</v>
      </c>
      <c r="P19" s="62">
        <f>PMT($F$24,$F$23,$F$22)</f>
        <v>-80242.587190691323</v>
      </c>
      <c r="Q19" s="62">
        <f>IPMT($F$24,O19,$F$23,$F$22)</f>
        <v>-50000</v>
      </c>
      <c r="R19" s="62">
        <f>PPMT($F$24,O19,$F$23,$F$22)</f>
        <v>-30242.587190691313</v>
      </c>
    </row>
    <row r="20" spans="2:18" ht="13.5" thickBot="1" x14ac:dyDescent="0.25">
      <c r="J20" s="24">
        <v>2</v>
      </c>
      <c r="K20" s="63">
        <f t="shared" ref="K20:K38" si="4">PMT(5%,20,1000000)</f>
        <v>-80242.587190691323</v>
      </c>
      <c r="L20" s="63">
        <f t="shared" ref="L20:L38" si="5">IPMT(5%,J20,20,1000000)</f>
        <v>-48487.870640465437</v>
      </c>
      <c r="M20" s="63">
        <f t="shared" ref="M20:M38" si="6">PPMT(5%,J20,20,1000000)</f>
        <v>-31754.716550225876</v>
      </c>
      <c r="O20" s="24">
        <v>2</v>
      </c>
      <c r="P20" s="62">
        <f t="shared" ref="P20:P38" si="7">PMT($F$24,$F$23,$F$22)</f>
        <v>-80242.587190691323</v>
      </c>
      <c r="Q20" s="62">
        <f t="shared" ref="Q20:Q38" si="8">IPMT($F$24,O20,$F$23,$F$22)</f>
        <v>-48487.870640465437</v>
      </c>
      <c r="R20" s="62">
        <f t="shared" ref="R20:R38" si="9">PPMT($F$24,O20,$F$23,$F$22)</f>
        <v>-31754.716550225876</v>
      </c>
    </row>
    <row r="21" spans="2:18" x14ac:dyDescent="0.2">
      <c r="C21" s="4"/>
      <c r="D21" s="5"/>
      <c r="E21" s="5"/>
      <c r="F21" s="5"/>
      <c r="G21" s="6"/>
      <c r="J21" s="24">
        <v>3</v>
      </c>
      <c r="K21" s="63">
        <f t="shared" si="4"/>
        <v>-80242.587190691323</v>
      </c>
      <c r="L21" s="63">
        <f t="shared" si="5"/>
        <v>-46900.134812954144</v>
      </c>
      <c r="M21" s="63">
        <f t="shared" si="6"/>
        <v>-33342.452377737172</v>
      </c>
      <c r="O21" s="24">
        <v>3</v>
      </c>
      <c r="P21" s="62">
        <f t="shared" si="7"/>
        <v>-80242.587190691323</v>
      </c>
      <c r="Q21" s="62">
        <f t="shared" si="8"/>
        <v>-46900.134812954144</v>
      </c>
      <c r="R21" s="62">
        <f t="shared" si="9"/>
        <v>-33342.452377737172</v>
      </c>
    </row>
    <row r="22" spans="2:18" x14ac:dyDescent="0.2">
      <c r="C22" s="7" t="s">
        <v>15</v>
      </c>
      <c r="F22" s="25">
        <v>1000000</v>
      </c>
      <c r="G22" s="8"/>
      <c r="J22" s="24">
        <v>4</v>
      </c>
      <c r="K22" s="63">
        <f t="shared" si="4"/>
        <v>-80242.587190691323</v>
      </c>
      <c r="L22" s="63">
        <f t="shared" si="5"/>
        <v>-45233.012194067283</v>
      </c>
      <c r="M22" s="63">
        <f t="shared" si="6"/>
        <v>-35009.574996624033</v>
      </c>
      <c r="O22" s="24">
        <v>4</v>
      </c>
      <c r="P22" s="62">
        <f t="shared" si="7"/>
        <v>-80242.587190691323</v>
      </c>
      <c r="Q22" s="62">
        <f t="shared" si="8"/>
        <v>-45233.012194067283</v>
      </c>
      <c r="R22" s="62">
        <f t="shared" si="9"/>
        <v>-35009.574996624033</v>
      </c>
    </row>
    <row r="23" spans="2:18" x14ac:dyDescent="0.2">
      <c r="C23" s="7" t="s">
        <v>7</v>
      </c>
      <c r="F23" s="25">
        <v>20</v>
      </c>
      <c r="G23" s="8"/>
      <c r="J23" s="24">
        <v>5</v>
      </c>
      <c r="K23" s="63">
        <f t="shared" si="4"/>
        <v>-80242.587190691323</v>
      </c>
      <c r="L23" s="63">
        <f t="shared" si="5"/>
        <v>-43482.533444236076</v>
      </c>
      <c r="M23" s="63">
        <f t="shared" si="6"/>
        <v>-36760.053746455233</v>
      </c>
      <c r="O23" s="24">
        <v>5</v>
      </c>
      <c r="P23" s="62">
        <f t="shared" si="7"/>
        <v>-80242.587190691323</v>
      </c>
      <c r="Q23" s="62">
        <f t="shared" si="8"/>
        <v>-43482.533444236076</v>
      </c>
      <c r="R23" s="62">
        <f t="shared" si="9"/>
        <v>-36760.053746455233</v>
      </c>
    </row>
    <row r="24" spans="2:18" x14ac:dyDescent="0.2">
      <c r="C24" s="7" t="s">
        <v>2</v>
      </c>
      <c r="F24" s="26">
        <v>0.05</v>
      </c>
      <c r="G24" s="8"/>
      <c r="J24" s="24">
        <v>6</v>
      </c>
      <c r="K24" s="63">
        <f t="shared" si="4"/>
        <v>-80242.587190691323</v>
      </c>
      <c r="L24" s="63">
        <f t="shared" si="5"/>
        <v>-41644.530756913322</v>
      </c>
      <c r="M24" s="63">
        <f t="shared" si="6"/>
        <v>-38598.056433777994</v>
      </c>
      <c r="O24" s="24">
        <v>6</v>
      </c>
      <c r="P24" s="62">
        <f t="shared" si="7"/>
        <v>-80242.587190691323</v>
      </c>
      <c r="Q24" s="62">
        <f t="shared" si="8"/>
        <v>-41644.530756913322</v>
      </c>
      <c r="R24" s="62">
        <f t="shared" si="9"/>
        <v>-38598.056433777994</v>
      </c>
    </row>
    <row r="25" spans="2:18" x14ac:dyDescent="0.2">
      <c r="C25" s="7" t="s">
        <v>16</v>
      </c>
      <c r="F25" s="25">
        <v>2</v>
      </c>
      <c r="G25" s="8"/>
      <c r="J25" s="24">
        <v>7</v>
      </c>
      <c r="K25" s="63">
        <f t="shared" si="4"/>
        <v>-80242.587190691323</v>
      </c>
      <c r="L25" s="63">
        <f t="shared" si="5"/>
        <v>-39714.627935224416</v>
      </c>
      <c r="M25" s="63">
        <f t="shared" si="6"/>
        <v>-40527.9592554669</v>
      </c>
      <c r="O25" s="24">
        <v>7</v>
      </c>
      <c r="P25" s="62">
        <f t="shared" si="7"/>
        <v>-80242.587190691323</v>
      </c>
      <c r="Q25" s="62">
        <f t="shared" si="8"/>
        <v>-39714.627935224416</v>
      </c>
      <c r="R25" s="62">
        <f t="shared" si="9"/>
        <v>-40527.9592554669</v>
      </c>
    </row>
    <row r="26" spans="2:18" x14ac:dyDescent="0.2">
      <c r="C26" s="7"/>
      <c r="G26" s="8"/>
      <c r="J26" s="24">
        <v>8</v>
      </c>
      <c r="K26" s="63">
        <f t="shared" si="4"/>
        <v>-80242.587190691323</v>
      </c>
      <c r="L26" s="63">
        <f t="shared" si="5"/>
        <v>-37688.229972451074</v>
      </c>
      <c r="M26" s="63">
        <f t="shared" si="6"/>
        <v>-42554.357218240242</v>
      </c>
      <c r="O26" s="24">
        <v>8</v>
      </c>
      <c r="P26" s="62">
        <f t="shared" si="7"/>
        <v>-80242.587190691323</v>
      </c>
      <c r="Q26" s="62">
        <f t="shared" si="8"/>
        <v>-37688.229972451074</v>
      </c>
      <c r="R26" s="62">
        <f t="shared" si="9"/>
        <v>-42554.357218240242</v>
      </c>
    </row>
    <row r="27" spans="2:18" x14ac:dyDescent="0.2">
      <c r="C27" s="7"/>
      <c r="G27" s="8"/>
      <c r="J27" s="24">
        <v>9</v>
      </c>
      <c r="K27" s="63">
        <f t="shared" si="4"/>
        <v>-80242.587190691323</v>
      </c>
      <c r="L27" s="63">
        <f t="shared" si="5"/>
        <v>-35560.51211153905</v>
      </c>
      <c r="M27" s="63">
        <f t="shared" si="6"/>
        <v>-44682.075079152259</v>
      </c>
      <c r="O27" s="24">
        <v>9</v>
      </c>
      <c r="P27" s="62">
        <f t="shared" si="7"/>
        <v>-80242.587190691323</v>
      </c>
      <c r="Q27" s="62">
        <f t="shared" si="8"/>
        <v>-35560.51211153905</v>
      </c>
      <c r="R27" s="62">
        <f t="shared" si="9"/>
        <v>-44682.075079152259</v>
      </c>
    </row>
    <row r="28" spans="2:18" x14ac:dyDescent="0.2">
      <c r="C28" s="7" t="s">
        <v>17</v>
      </c>
      <c r="D28" s="9">
        <f>+F25</f>
        <v>2</v>
      </c>
      <c r="E28" t="s">
        <v>18</v>
      </c>
      <c r="F28" s="29">
        <f>IPMT(F24,F25,F23,F22)</f>
        <v>-48487.870640465437</v>
      </c>
      <c r="G28" s="8"/>
      <c r="J28" s="24">
        <v>10</v>
      </c>
      <c r="K28" s="63">
        <f t="shared" si="4"/>
        <v>-80242.587190691323</v>
      </c>
      <c r="L28" s="63">
        <f t="shared" si="5"/>
        <v>-33326.408357581451</v>
      </c>
      <c r="M28" s="63">
        <f t="shared" si="6"/>
        <v>-46916.178833109865</v>
      </c>
      <c r="O28" s="24">
        <v>10</v>
      </c>
      <c r="P28" s="62">
        <f t="shared" si="7"/>
        <v>-80242.587190691323</v>
      </c>
      <c r="Q28" s="62">
        <f t="shared" si="8"/>
        <v>-33326.408357581451</v>
      </c>
      <c r="R28" s="62">
        <f t="shared" si="9"/>
        <v>-46916.178833109865</v>
      </c>
    </row>
    <row r="29" spans="2:18" x14ac:dyDescent="0.2">
      <c r="C29" s="34" t="s">
        <v>60</v>
      </c>
      <c r="F29" s="29">
        <f>PMT(F24,F23,F22)/12</f>
        <v>-6686.8822658909439</v>
      </c>
      <c r="G29" s="8"/>
      <c r="J29" s="24">
        <v>11</v>
      </c>
      <c r="K29" s="63">
        <f t="shared" si="4"/>
        <v>-80242.587190691323</v>
      </c>
      <c r="L29" s="63">
        <f t="shared" si="5"/>
        <v>-30980.599415925957</v>
      </c>
      <c r="M29" s="63">
        <f t="shared" si="6"/>
        <v>-49261.987774765366</v>
      </c>
      <c r="O29" s="24">
        <v>11</v>
      </c>
      <c r="P29" s="62">
        <f t="shared" si="7"/>
        <v>-80242.587190691323</v>
      </c>
      <c r="Q29" s="62">
        <f t="shared" si="8"/>
        <v>-30980.599415925957</v>
      </c>
      <c r="R29" s="62">
        <f t="shared" si="9"/>
        <v>-49261.987774765366</v>
      </c>
    </row>
    <row r="30" spans="2:18" x14ac:dyDescent="0.2">
      <c r="C30" s="7"/>
      <c r="G30" s="8"/>
      <c r="J30" s="24">
        <v>12</v>
      </c>
      <c r="K30" s="63">
        <f t="shared" si="4"/>
        <v>-80242.587190691323</v>
      </c>
      <c r="L30" s="63">
        <f t="shared" si="5"/>
        <v>-28517.500027187682</v>
      </c>
      <c r="M30" s="63">
        <f t="shared" si="6"/>
        <v>-51725.087163503631</v>
      </c>
      <c r="O30" s="24">
        <v>12</v>
      </c>
      <c r="P30" s="62">
        <f t="shared" si="7"/>
        <v>-80242.587190691323</v>
      </c>
      <c r="Q30" s="62">
        <f t="shared" si="8"/>
        <v>-28517.500027187682</v>
      </c>
      <c r="R30" s="62">
        <f t="shared" si="9"/>
        <v>-51725.087163503631</v>
      </c>
    </row>
    <row r="31" spans="2:18" ht="13.5" thickBot="1" x14ac:dyDescent="0.25">
      <c r="C31" s="10"/>
      <c r="D31" s="11"/>
      <c r="E31" s="11"/>
      <c r="F31" s="11"/>
      <c r="G31" s="12"/>
      <c r="J31" s="24">
        <v>13</v>
      </c>
      <c r="K31" s="63">
        <f t="shared" si="4"/>
        <v>-80242.587190691323</v>
      </c>
      <c r="L31" s="63">
        <f t="shared" si="5"/>
        <v>-25931.2456690125</v>
      </c>
      <c r="M31" s="63">
        <f t="shared" si="6"/>
        <v>-54311.341521678813</v>
      </c>
      <c r="O31" s="24">
        <v>13</v>
      </c>
      <c r="P31" s="62">
        <f t="shared" si="7"/>
        <v>-80242.587190691323</v>
      </c>
      <c r="Q31" s="62">
        <f t="shared" si="8"/>
        <v>-25931.2456690125</v>
      </c>
      <c r="R31" s="62">
        <f t="shared" si="9"/>
        <v>-54311.341521678813</v>
      </c>
    </row>
    <row r="32" spans="2:18" x14ac:dyDescent="0.2">
      <c r="J32" s="24">
        <v>14</v>
      </c>
      <c r="K32" s="63">
        <f t="shared" si="4"/>
        <v>-80242.587190691323</v>
      </c>
      <c r="L32" s="63">
        <f t="shared" si="5"/>
        <v>-23215.678592928562</v>
      </c>
      <c r="M32" s="63">
        <f t="shared" si="6"/>
        <v>-57026.908597762747</v>
      </c>
      <c r="O32" s="24">
        <v>14</v>
      </c>
      <c r="P32" s="62">
        <f t="shared" si="7"/>
        <v>-80242.587190691323</v>
      </c>
      <c r="Q32" s="62">
        <f t="shared" si="8"/>
        <v>-23215.678592928562</v>
      </c>
      <c r="R32" s="62">
        <f t="shared" si="9"/>
        <v>-57026.908597762747</v>
      </c>
    </row>
    <row r="33" spans="10:18" x14ac:dyDescent="0.2">
      <c r="J33" s="24">
        <v>15</v>
      </c>
      <c r="K33" s="63">
        <f t="shared" si="4"/>
        <v>-80242.587190691323</v>
      </c>
      <c r="L33" s="63">
        <f t="shared" si="5"/>
        <v>-20364.333163040421</v>
      </c>
      <c r="M33" s="63">
        <f t="shared" si="6"/>
        <v>-59878.254027650895</v>
      </c>
      <c r="O33" s="24">
        <v>15</v>
      </c>
      <c r="P33" s="62">
        <f t="shared" si="7"/>
        <v>-80242.587190691323</v>
      </c>
      <c r="Q33" s="62">
        <f t="shared" si="8"/>
        <v>-20364.333163040421</v>
      </c>
      <c r="R33" s="62">
        <f t="shared" si="9"/>
        <v>-59878.254027650895</v>
      </c>
    </row>
    <row r="34" spans="10:18" x14ac:dyDescent="0.2">
      <c r="J34" s="24">
        <v>16</v>
      </c>
      <c r="K34" s="63">
        <f t="shared" si="4"/>
        <v>-80242.587190691323</v>
      </c>
      <c r="L34" s="63">
        <f t="shared" si="5"/>
        <v>-17370.420461657875</v>
      </c>
      <c r="M34" s="63">
        <f t="shared" si="6"/>
        <v>-62872.166729033437</v>
      </c>
      <c r="O34" s="24">
        <v>16</v>
      </c>
      <c r="P34" s="62">
        <f t="shared" si="7"/>
        <v>-80242.587190691323</v>
      </c>
      <c r="Q34" s="62">
        <f t="shared" si="8"/>
        <v>-17370.420461657875</v>
      </c>
      <c r="R34" s="62">
        <f t="shared" si="9"/>
        <v>-62872.166729033437</v>
      </c>
    </row>
    <row r="35" spans="10:18" x14ac:dyDescent="0.2">
      <c r="J35" s="24">
        <v>17</v>
      </c>
      <c r="K35" s="63">
        <f t="shared" si="4"/>
        <v>-80242.587190691323</v>
      </c>
      <c r="L35" s="63">
        <f t="shared" si="5"/>
        <v>-14226.812125206205</v>
      </c>
      <c r="M35" s="63">
        <f t="shared" si="6"/>
        <v>-66015.775065485112</v>
      </c>
      <c r="O35" s="24">
        <v>17</v>
      </c>
      <c r="P35" s="62">
        <f t="shared" si="7"/>
        <v>-80242.587190691323</v>
      </c>
      <c r="Q35" s="62">
        <f t="shared" si="8"/>
        <v>-14226.812125206205</v>
      </c>
      <c r="R35" s="62">
        <f t="shared" si="9"/>
        <v>-66015.775065485112</v>
      </c>
    </row>
    <row r="36" spans="10:18" x14ac:dyDescent="0.2">
      <c r="J36" s="24">
        <v>18</v>
      </c>
      <c r="K36" s="63">
        <f t="shared" si="4"/>
        <v>-80242.587190691323</v>
      </c>
      <c r="L36" s="63">
        <f t="shared" si="5"/>
        <v>-10926.023371931948</v>
      </c>
      <c r="M36" s="63">
        <f t="shared" si="6"/>
        <v>-69316.563818759372</v>
      </c>
      <c r="O36" s="24">
        <v>18</v>
      </c>
      <c r="P36" s="62">
        <f t="shared" si="7"/>
        <v>-80242.587190691323</v>
      </c>
      <c r="Q36" s="62">
        <f t="shared" si="8"/>
        <v>-10926.023371931948</v>
      </c>
      <c r="R36" s="62">
        <f t="shared" si="9"/>
        <v>-69316.563818759372</v>
      </c>
    </row>
    <row r="37" spans="10:18" x14ac:dyDescent="0.2">
      <c r="J37" s="24">
        <v>19</v>
      </c>
      <c r="K37" s="63">
        <f t="shared" si="4"/>
        <v>-80242.587190691323</v>
      </c>
      <c r="L37" s="63">
        <f t="shared" si="5"/>
        <v>-7460.1951809939783</v>
      </c>
      <c r="M37" s="63">
        <f t="shared" si="6"/>
        <v>-72782.392009697331</v>
      </c>
      <c r="O37" s="24">
        <v>19</v>
      </c>
      <c r="P37" s="62">
        <f t="shared" si="7"/>
        <v>-80242.587190691323</v>
      </c>
      <c r="Q37" s="62">
        <f t="shared" si="8"/>
        <v>-7460.1951809939783</v>
      </c>
      <c r="R37" s="62">
        <f t="shared" si="9"/>
        <v>-72782.392009697331</v>
      </c>
    </row>
    <row r="38" spans="10:18" x14ac:dyDescent="0.2">
      <c r="J38" s="24">
        <v>20</v>
      </c>
      <c r="K38" s="63">
        <f t="shared" si="4"/>
        <v>-80242.587190691323</v>
      </c>
      <c r="L38" s="63">
        <f t="shared" si="5"/>
        <v>-3821.0755805091112</v>
      </c>
      <c r="M38" s="63">
        <f t="shared" si="6"/>
        <v>-76421.511610182206</v>
      </c>
      <c r="O38" s="24">
        <v>20</v>
      </c>
      <c r="P38" s="62">
        <f t="shared" si="7"/>
        <v>-80242.587190691323</v>
      </c>
      <c r="Q38" s="62">
        <f t="shared" si="8"/>
        <v>-3821.0755805091112</v>
      </c>
      <c r="R38" s="62">
        <f t="shared" si="9"/>
        <v>-76421.511610182206</v>
      </c>
    </row>
    <row r="39" spans="10:18" x14ac:dyDescent="0.2">
      <c r="K39" s="61">
        <f>SUM(K19:K38)</f>
        <v>-1604851.7438138272</v>
      </c>
      <c r="L39" s="61">
        <f>SUM(L19:L38)</f>
        <v>-604851.7438138267</v>
      </c>
      <c r="M39" s="61">
        <f>SUM(M19:M38)</f>
        <v>-999999.99999999977</v>
      </c>
      <c r="P39" s="61">
        <f>SUM(P19:P38)</f>
        <v>-1604851.7438138272</v>
      </c>
      <c r="Q39" s="61">
        <f>SUM(Q19:Q38)</f>
        <v>-604851.7438138267</v>
      </c>
      <c r="R39" s="61">
        <f>SUM(R19:R38)</f>
        <v>-999999.99999999977</v>
      </c>
    </row>
    <row r="40" spans="10:18" x14ac:dyDescent="0.2">
      <c r="K40" s="2"/>
      <c r="L40" s="2"/>
      <c r="M40" s="2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6771-004A-4D90-B8E6-B065F27DA896}">
  <dimension ref="B2:S37"/>
  <sheetViews>
    <sheetView showGridLines="0" tabSelected="1" workbookViewId="0">
      <selection activeCell="L19" sqref="L19"/>
    </sheetView>
  </sheetViews>
  <sheetFormatPr defaultRowHeight="12.75" x14ac:dyDescent="0.2"/>
  <cols>
    <col min="1" max="1" width="9.140625" style="64"/>
    <col min="2" max="2" width="19.28515625" style="64" customWidth="1"/>
    <col min="3" max="3" width="19.5703125" style="64" customWidth="1"/>
    <col min="4" max="4" width="11.42578125" style="64" bestFit="1" customWidth="1"/>
    <col min="5" max="5" width="14.7109375" style="64" bestFit="1" customWidth="1"/>
    <col min="6" max="8" width="15.28515625" style="64" bestFit="1" customWidth="1"/>
    <col min="9" max="9" width="10.42578125" style="64" customWidth="1"/>
    <col min="10" max="10" width="9.140625" style="64"/>
    <col min="11" max="11" width="11.85546875" style="64" bestFit="1" customWidth="1"/>
    <col min="12" max="12" width="12.28515625" style="64" customWidth="1"/>
    <col min="13" max="13" width="9.140625" style="64"/>
    <col min="14" max="14" width="11.85546875" style="64" bestFit="1" customWidth="1"/>
    <col min="15" max="15" width="10.28515625" style="64" customWidth="1"/>
    <col min="16" max="18" width="9.140625" style="64"/>
    <col min="19" max="19" width="14.28515625" style="64" bestFit="1" customWidth="1"/>
    <col min="20" max="16384" width="9.140625" style="64"/>
  </cols>
  <sheetData>
    <row r="2" spans="2:19" ht="13.5" thickBot="1" x14ac:dyDescent="0.25"/>
    <row r="3" spans="2:19" x14ac:dyDescent="0.2">
      <c r="B3" s="65" t="s">
        <v>78</v>
      </c>
      <c r="C3" s="66">
        <v>10000</v>
      </c>
      <c r="E3" s="65" t="s">
        <v>78</v>
      </c>
      <c r="F3" s="66">
        <v>1000</v>
      </c>
      <c r="H3" s="65" t="s">
        <v>78</v>
      </c>
      <c r="I3" s="66">
        <v>8000</v>
      </c>
      <c r="K3" s="65" t="s">
        <v>78</v>
      </c>
      <c r="L3" s="66">
        <v>820000</v>
      </c>
      <c r="N3" s="65" t="s">
        <v>78</v>
      </c>
      <c r="O3" s="66">
        <v>820000</v>
      </c>
    </row>
    <row r="4" spans="2:19" x14ac:dyDescent="0.2">
      <c r="B4" s="67" t="s">
        <v>79</v>
      </c>
      <c r="C4" s="68">
        <v>0.08</v>
      </c>
      <c r="E4" s="67" t="s">
        <v>79</v>
      </c>
      <c r="F4" s="68">
        <v>0.01</v>
      </c>
      <c r="H4" s="67" t="s">
        <v>82</v>
      </c>
      <c r="I4" s="69">
        <v>-200</v>
      </c>
      <c r="K4" s="67" t="s">
        <v>82</v>
      </c>
      <c r="L4" s="69">
        <v>-15000</v>
      </c>
      <c r="N4" s="67" t="s">
        <v>82</v>
      </c>
      <c r="O4" s="69">
        <v>-12000</v>
      </c>
    </row>
    <row r="5" spans="2:19" x14ac:dyDescent="0.2">
      <c r="B5" s="67" t="s">
        <v>80</v>
      </c>
      <c r="C5" s="70">
        <v>10</v>
      </c>
      <c r="E5" s="67" t="s">
        <v>82</v>
      </c>
      <c r="F5" s="70">
        <v>-100</v>
      </c>
      <c r="H5" s="67" t="s">
        <v>84</v>
      </c>
      <c r="I5" s="70">
        <v>4</v>
      </c>
      <c r="K5" s="67" t="s">
        <v>84</v>
      </c>
      <c r="L5" s="70">
        <v>5</v>
      </c>
      <c r="N5" s="67" t="s">
        <v>84</v>
      </c>
      <c r="O5" s="70">
        <v>6</v>
      </c>
    </row>
    <row r="6" spans="2:19" x14ac:dyDescent="0.2">
      <c r="B6" s="71"/>
      <c r="C6" s="72"/>
      <c r="E6" s="71"/>
      <c r="F6" s="72"/>
      <c r="H6" s="71"/>
      <c r="I6" s="72"/>
      <c r="K6" s="71"/>
      <c r="L6" s="72"/>
      <c r="N6" s="71"/>
      <c r="O6" s="72"/>
    </row>
    <row r="7" spans="2:19" ht="13.5" thickBot="1" x14ac:dyDescent="0.25">
      <c r="B7" s="73" t="s">
        <v>81</v>
      </c>
      <c r="C7" s="74">
        <f>PMT(C4/12,C5,C3)</f>
        <v>-1037.0320893591522</v>
      </c>
      <c r="E7" s="73" t="s">
        <v>83</v>
      </c>
      <c r="F7" s="75">
        <f>NPER(F4,F5,F3)</f>
        <v>10.588644459423231</v>
      </c>
      <c r="H7" s="73" t="s">
        <v>85</v>
      </c>
      <c r="I7" s="76">
        <f>RATE(I5*12,I4,I3)*12</f>
        <v>9.2417669858416415E-2</v>
      </c>
      <c r="K7" s="73" t="s">
        <v>85</v>
      </c>
      <c r="L7" s="76">
        <f>RATE(L5,L4*12,L3)</f>
        <v>3.1854679441053108E-2</v>
      </c>
      <c r="N7" s="73" t="s">
        <v>85</v>
      </c>
      <c r="O7" s="76">
        <f>RATE(O5,O4*12,O3,-18000)</f>
        <v>2.0921760362465742E-2</v>
      </c>
    </row>
    <row r="10" spans="2:19" ht="13.5" thickBot="1" x14ac:dyDescent="0.25"/>
    <row r="11" spans="2:19" ht="24" thickBot="1" x14ac:dyDescent="0.4">
      <c r="B11" s="94" t="s">
        <v>86</v>
      </c>
      <c r="C11" s="94"/>
      <c r="F11" s="86" t="s">
        <v>5</v>
      </c>
      <c r="G11" s="87" t="s">
        <v>11</v>
      </c>
      <c r="H11" s="88" t="s">
        <v>13</v>
      </c>
      <c r="J11" s="95"/>
      <c r="K11" s="95"/>
      <c r="L11" s="95"/>
      <c r="M11" s="95"/>
      <c r="N11" s="95"/>
      <c r="O11" s="95"/>
      <c r="P11" s="95"/>
      <c r="Q11" s="95"/>
    </row>
    <row r="12" spans="2:19" x14ac:dyDescent="0.2">
      <c r="B12" s="77" t="s">
        <v>78</v>
      </c>
      <c r="C12" s="64">
        <v>2500000</v>
      </c>
      <c r="E12" s="77">
        <v>1</v>
      </c>
      <c r="F12" s="78">
        <f>PMT($C$14,$C$13,$C$12)</f>
        <v>-140389.13611042171</v>
      </c>
      <c r="G12" s="79">
        <f>IPMT($C$14,E12,$C$13,$C$12)</f>
        <v>-70000</v>
      </c>
      <c r="H12" s="80">
        <f>PPMT($C$14,E12,$C$13,$C$12)</f>
        <v>-70389.136110421721</v>
      </c>
      <c r="J12" s="95"/>
      <c r="K12" s="95"/>
      <c r="L12" s="95"/>
      <c r="M12" s="95"/>
      <c r="N12" s="95"/>
      <c r="O12" s="95"/>
      <c r="P12" s="95"/>
      <c r="Q12" s="95"/>
      <c r="R12" s="64" t="s">
        <v>91</v>
      </c>
      <c r="S12" s="64">
        <v>580000</v>
      </c>
    </row>
    <row r="13" spans="2:19" x14ac:dyDescent="0.2">
      <c r="B13" s="77" t="s">
        <v>84</v>
      </c>
      <c r="C13" s="64">
        <v>25</v>
      </c>
      <c r="E13" s="77">
        <v>2</v>
      </c>
      <c r="F13" s="78">
        <f t="shared" ref="F13:F36" si="0">PMT($C$14,$C$13,$C$12)</f>
        <v>-140389.13611042171</v>
      </c>
      <c r="G13" s="79">
        <f t="shared" ref="G13:G36" si="1">IPMT($C$14,E13,$C$13,$C$12)</f>
        <v>-68029.104188908197</v>
      </c>
      <c r="H13" s="80">
        <f t="shared" ref="H13:H36" si="2">PPMT($C$14,E13,$C$13,$C$12)</f>
        <v>-72360.031921513539</v>
      </c>
      <c r="R13" s="64" t="s">
        <v>90</v>
      </c>
      <c r="S13" s="64">
        <v>75000</v>
      </c>
    </row>
    <row r="14" spans="2:19" x14ac:dyDescent="0.2">
      <c r="B14" s="77" t="s">
        <v>87</v>
      </c>
      <c r="C14" s="81">
        <v>2.8000000000000001E-2</v>
      </c>
      <c r="E14" s="77">
        <v>3</v>
      </c>
      <c r="F14" s="78">
        <f t="shared" si="0"/>
        <v>-140389.13611042171</v>
      </c>
      <c r="G14" s="79">
        <f t="shared" si="1"/>
        <v>-66003.023295105799</v>
      </c>
      <c r="H14" s="80">
        <f t="shared" si="2"/>
        <v>-74386.112815315893</v>
      </c>
      <c r="R14" s="64" t="s">
        <v>89</v>
      </c>
      <c r="S14" s="64">
        <v>48</v>
      </c>
    </row>
    <row r="15" spans="2:19" x14ac:dyDescent="0.2">
      <c r="E15" s="77">
        <v>4</v>
      </c>
      <c r="F15" s="78">
        <f t="shared" si="0"/>
        <v>-140389.13611042171</v>
      </c>
      <c r="G15" s="79">
        <f t="shared" si="1"/>
        <v>-63920.212136276961</v>
      </c>
      <c r="H15" s="80">
        <f t="shared" si="2"/>
        <v>-76468.923974144753</v>
      </c>
      <c r="R15" s="64" t="s">
        <v>92</v>
      </c>
      <c r="S15" s="64">
        <v>20000</v>
      </c>
    </row>
    <row r="16" spans="2:19" x14ac:dyDescent="0.2">
      <c r="E16" s="77">
        <v>5</v>
      </c>
      <c r="F16" s="78">
        <f t="shared" si="0"/>
        <v>-140389.13611042171</v>
      </c>
      <c r="G16" s="79">
        <f t="shared" si="1"/>
        <v>-61779.082265000907</v>
      </c>
      <c r="H16" s="80">
        <f t="shared" si="2"/>
        <v>-78610.053845420814</v>
      </c>
      <c r="R16" s="64" t="s">
        <v>93</v>
      </c>
      <c r="S16" s="81">
        <v>0.13800000000000001</v>
      </c>
    </row>
    <row r="17" spans="2:19" x14ac:dyDescent="0.2">
      <c r="B17" s="77" t="s">
        <v>88</v>
      </c>
      <c r="C17" s="82">
        <f>PMT(C14,C13,C12)/12</f>
        <v>-11699.094675868475</v>
      </c>
      <c r="E17" s="77">
        <v>6</v>
      </c>
      <c r="F17" s="78">
        <f t="shared" si="0"/>
        <v>-140389.13611042171</v>
      </c>
      <c r="G17" s="79">
        <f t="shared" si="1"/>
        <v>-59578.000757329137</v>
      </c>
      <c r="H17" s="80">
        <f t="shared" si="2"/>
        <v>-80811.135353092584</v>
      </c>
    </row>
    <row r="18" spans="2:19" x14ac:dyDescent="0.2">
      <c r="E18" s="77">
        <v>7</v>
      </c>
      <c r="F18" s="78">
        <f t="shared" si="0"/>
        <v>-140389.13611042171</v>
      </c>
      <c r="G18" s="79">
        <f t="shared" si="1"/>
        <v>-57315.288967442539</v>
      </c>
      <c r="H18" s="80">
        <f t="shared" si="2"/>
        <v>-83073.847142979183</v>
      </c>
      <c r="R18" s="64" t="s">
        <v>94</v>
      </c>
      <c r="S18" s="82">
        <f>PMT(S16/12,S14,S12-S13,-S15)</f>
        <v>-13434.734224648897</v>
      </c>
    </row>
    <row r="19" spans="2:19" x14ac:dyDescent="0.2">
      <c r="E19" s="77">
        <v>8</v>
      </c>
      <c r="F19" s="78">
        <f t="shared" si="0"/>
        <v>-140389.13611042171</v>
      </c>
      <c r="G19" s="79">
        <f t="shared" si="1"/>
        <v>-54989.221247439127</v>
      </c>
      <c r="H19" s="80">
        <f t="shared" si="2"/>
        <v>-85399.91486298258</v>
      </c>
    </row>
    <row r="20" spans="2:19" x14ac:dyDescent="0.2">
      <c r="E20" s="77">
        <v>9</v>
      </c>
      <c r="F20" s="78">
        <f t="shared" si="0"/>
        <v>-140389.13611042171</v>
      </c>
      <c r="G20" s="79">
        <f t="shared" si="1"/>
        <v>-52598.02363127561</v>
      </c>
      <c r="H20" s="80">
        <f t="shared" si="2"/>
        <v>-87791.112479146104</v>
      </c>
    </row>
    <row r="21" spans="2:19" x14ac:dyDescent="0.2">
      <c r="E21" s="77">
        <v>10</v>
      </c>
      <c r="F21" s="78">
        <f t="shared" si="0"/>
        <v>-140389.13611042171</v>
      </c>
      <c r="G21" s="79">
        <f t="shared" si="1"/>
        <v>-50139.872481859522</v>
      </c>
      <c r="H21" s="80">
        <f t="shared" si="2"/>
        <v>-90249.263628562199</v>
      </c>
    </row>
    <row r="22" spans="2:19" x14ac:dyDescent="0.2">
      <c r="E22" s="77">
        <v>11</v>
      </c>
      <c r="F22" s="78">
        <f t="shared" si="0"/>
        <v>-140389.13611042171</v>
      </c>
      <c r="G22" s="79">
        <f t="shared" si="1"/>
        <v>-47612.893100259775</v>
      </c>
      <c r="H22" s="80">
        <f t="shared" si="2"/>
        <v>-92776.243010161939</v>
      </c>
    </row>
    <row r="23" spans="2:19" x14ac:dyDescent="0.2">
      <c r="E23" s="77">
        <v>12</v>
      </c>
      <c r="F23" s="78">
        <f t="shared" si="0"/>
        <v>-140389.13611042171</v>
      </c>
      <c r="G23" s="79">
        <f t="shared" si="1"/>
        <v>-45015.158295975241</v>
      </c>
      <c r="H23" s="80">
        <f t="shared" si="2"/>
        <v>-95373.97781444648</v>
      </c>
    </row>
    <row r="24" spans="2:19" x14ac:dyDescent="0.2">
      <c r="E24" s="77">
        <v>13</v>
      </c>
      <c r="F24" s="78">
        <f t="shared" si="0"/>
        <v>-140389.13611042171</v>
      </c>
      <c r="G24" s="79">
        <f t="shared" si="1"/>
        <v>-42344.686917170737</v>
      </c>
      <c r="H24" s="80">
        <f t="shared" si="2"/>
        <v>-98044.44919325097</v>
      </c>
      <c r="S24" s="100">
        <v>13434.73</v>
      </c>
    </row>
    <row r="25" spans="2:19" x14ac:dyDescent="0.2">
      <c r="E25" s="77">
        <v>14</v>
      </c>
      <c r="F25" s="78">
        <f t="shared" si="0"/>
        <v>-140389.13611042171</v>
      </c>
      <c r="G25" s="79">
        <f t="shared" si="1"/>
        <v>-39599.442339759706</v>
      </c>
      <c r="H25" s="80">
        <f t="shared" si="2"/>
        <v>-100789.69377066199</v>
      </c>
      <c r="S25" s="100">
        <v>13749.26</v>
      </c>
    </row>
    <row r="26" spans="2:19" x14ac:dyDescent="0.2">
      <c r="E26" s="77">
        <v>15</v>
      </c>
      <c r="F26" s="78">
        <f t="shared" si="0"/>
        <v>-140389.13611042171</v>
      </c>
      <c r="G26" s="79">
        <f t="shared" si="1"/>
        <v>-36777.330914181177</v>
      </c>
      <c r="H26" s="80">
        <f t="shared" si="2"/>
        <v>-103611.80519624053</v>
      </c>
    </row>
    <row r="27" spans="2:19" x14ac:dyDescent="0.2">
      <c r="E27" s="77">
        <v>16</v>
      </c>
      <c r="F27" s="78">
        <f t="shared" si="0"/>
        <v>-140389.13611042171</v>
      </c>
      <c r="G27" s="79">
        <f t="shared" si="1"/>
        <v>-33876.200368686441</v>
      </c>
      <c r="H27" s="80">
        <f t="shared" si="2"/>
        <v>-106512.93574173527</v>
      </c>
    </row>
    <row r="28" spans="2:19" x14ac:dyDescent="0.2">
      <c r="E28" s="77">
        <v>17</v>
      </c>
      <c r="F28" s="78">
        <f t="shared" si="0"/>
        <v>-140389.13611042171</v>
      </c>
      <c r="G28" s="79">
        <f t="shared" si="1"/>
        <v>-30893.838167917856</v>
      </c>
      <c r="H28" s="80">
        <f t="shared" si="2"/>
        <v>-109495.29794250385</v>
      </c>
    </row>
    <row r="29" spans="2:19" x14ac:dyDescent="0.2">
      <c r="E29" s="77">
        <v>18</v>
      </c>
      <c r="F29" s="78">
        <f t="shared" si="0"/>
        <v>-140389.13611042171</v>
      </c>
      <c r="G29" s="79">
        <f t="shared" si="1"/>
        <v>-27827.969825527747</v>
      </c>
      <c r="H29" s="80">
        <f t="shared" si="2"/>
        <v>-112561.16628489397</v>
      </c>
    </row>
    <row r="30" spans="2:19" x14ac:dyDescent="0.2">
      <c r="E30" s="77">
        <v>19</v>
      </c>
      <c r="F30" s="78">
        <f t="shared" si="0"/>
        <v>-140389.13611042171</v>
      </c>
      <c r="G30" s="79">
        <f t="shared" si="1"/>
        <v>-24676.257169550714</v>
      </c>
      <c r="H30" s="80">
        <f t="shared" si="2"/>
        <v>-115712.87894087101</v>
      </c>
    </row>
    <row r="31" spans="2:19" x14ac:dyDescent="0.2">
      <c r="E31" s="77">
        <v>20</v>
      </c>
      <c r="F31" s="78">
        <f t="shared" si="0"/>
        <v>-140389.13611042171</v>
      </c>
      <c r="G31" s="79">
        <f t="shared" si="1"/>
        <v>-21436.296559206326</v>
      </c>
      <c r="H31" s="80">
        <f t="shared" si="2"/>
        <v>-118952.83955121538</v>
      </c>
    </row>
    <row r="32" spans="2:19" x14ac:dyDescent="0.2">
      <c r="E32" s="77">
        <v>21</v>
      </c>
      <c r="F32" s="78">
        <f t="shared" si="0"/>
        <v>-140389.13611042171</v>
      </c>
      <c r="G32" s="79">
        <f t="shared" si="1"/>
        <v>-18105.6170517723</v>
      </c>
      <c r="H32" s="80">
        <f t="shared" si="2"/>
        <v>-122283.51905864943</v>
      </c>
    </row>
    <row r="33" spans="5:8" x14ac:dyDescent="0.2">
      <c r="E33" s="77">
        <v>22</v>
      </c>
      <c r="F33" s="78">
        <f t="shared" si="0"/>
        <v>-140389.13611042171</v>
      </c>
      <c r="G33" s="79">
        <f t="shared" si="1"/>
        <v>-14681.678518130115</v>
      </c>
      <c r="H33" s="80">
        <f t="shared" si="2"/>
        <v>-125707.45759229161</v>
      </c>
    </row>
    <row r="34" spans="5:8" x14ac:dyDescent="0.2">
      <c r="E34" s="77">
        <v>23</v>
      </c>
      <c r="F34" s="78">
        <f t="shared" si="0"/>
        <v>-140389.13611042171</v>
      </c>
      <c r="G34" s="79">
        <f t="shared" si="1"/>
        <v>-11161.869705545951</v>
      </c>
      <c r="H34" s="80">
        <f t="shared" si="2"/>
        <v>-129227.26640487576</v>
      </c>
    </row>
    <row r="35" spans="5:8" x14ac:dyDescent="0.2">
      <c r="E35" s="77">
        <v>24</v>
      </c>
      <c r="F35" s="78">
        <f t="shared" si="0"/>
        <v>-140389.13611042171</v>
      </c>
      <c r="G35" s="79">
        <f t="shared" si="1"/>
        <v>-7543.5062462094302</v>
      </c>
      <c r="H35" s="80">
        <f t="shared" si="2"/>
        <v>-132845.6298642123</v>
      </c>
    </row>
    <row r="36" spans="5:8" x14ac:dyDescent="0.2">
      <c r="E36" s="77">
        <v>25</v>
      </c>
      <c r="F36" s="78">
        <f t="shared" si="0"/>
        <v>-140389.13611042171</v>
      </c>
      <c r="G36" s="79">
        <f t="shared" si="1"/>
        <v>-3823.828610011486</v>
      </c>
      <c r="H36" s="80">
        <f t="shared" si="2"/>
        <v>-136565.30750041024</v>
      </c>
    </row>
    <row r="37" spans="5:8" ht="13.5" thickBot="1" x14ac:dyDescent="0.25">
      <c r="F37" s="83">
        <f>SUM(F12:F36)</f>
        <v>-3509728.4027605429</v>
      </c>
      <c r="G37" s="84">
        <f>SUM(G12:G36)</f>
        <v>-1009728.4027605427</v>
      </c>
      <c r="H37" s="85">
        <f>SUM(H12:H36)</f>
        <v>-2499999.9999999995</v>
      </c>
    </row>
  </sheetData>
  <mergeCells count="2">
    <mergeCell ref="B11:C11"/>
    <mergeCell ref="J11:Q1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L22"/>
  <sheetViews>
    <sheetView zoomScaleNormal="100" workbookViewId="0">
      <selection activeCell="B9" sqref="B9:C9"/>
    </sheetView>
  </sheetViews>
  <sheetFormatPr defaultRowHeight="12.75" x14ac:dyDescent="0.2"/>
  <cols>
    <col min="2" max="2" width="11.5703125" bestFit="1" customWidth="1"/>
  </cols>
  <sheetData>
    <row r="4" spans="2:12" x14ac:dyDescent="0.2">
      <c r="B4" s="20"/>
    </row>
    <row r="5" spans="2:12" x14ac:dyDescent="0.2">
      <c r="B5" s="20" t="s">
        <v>46</v>
      </c>
    </row>
    <row r="6" spans="2:12" ht="13.5" thickBot="1" x14ac:dyDescent="0.25">
      <c r="B6" s="21"/>
    </row>
    <row r="7" spans="2:12" ht="34.5" customHeight="1" thickBot="1" x14ac:dyDescent="0.25">
      <c r="B7" s="96" t="s">
        <v>47</v>
      </c>
      <c r="C7" s="97"/>
      <c r="D7" s="97"/>
      <c r="E7" s="97"/>
      <c r="F7" s="97"/>
      <c r="G7" s="97"/>
      <c r="H7" s="97"/>
      <c r="I7" s="98"/>
    </row>
    <row r="8" spans="2:12" x14ac:dyDescent="0.2">
      <c r="B8" s="21" t="s">
        <v>70</v>
      </c>
      <c r="C8" t="s">
        <v>12</v>
      </c>
    </row>
    <row r="9" spans="2:12" x14ac:dyDescent="0.2">
      <c r="B9" s="35">
        <f>NPER(10%/12,-3000,100000)</f>
        <v>39.213174201270093</v>
      </c>
      <c r="C9" s="35">
        <f>NPER(10%/12,-3000,100000)/12</f>
        <v>3.2677645167725076</v>
      </c>
    </row>
    <row r="10" spans="2:12" x14ac:dyDescent="0.2">
      <c r="B10" s="21"/>
      <c r="L10">
        <f>3000*B9</f>
        <v>117639.52260381028</v>
      </c>
    </row>
    <row r="11" spans="2:12" x14ac:dyDescent="0.2">
      <c r="B11" s="20" t="s">
        <v>48</v>
      </c>
    </row>
    <row r="12" spans="2:12" x14ac:dyDescent="0.2">
      <c r="B12" s="20"/>
    </row>
    <row r="13" spans="2:12" ht="13.5" customHeight="1" x14ac:dyDescent="0.2">
      <c r="B13" s="99" t="s">
        <v>49</v>
      </c>
      <c r="C13" s="99"/>
      <c r="D13" s="99"/>
      <c r="E13" s="99"/>
      <c r="F13" s="99"/>
      <c r="G13" s="99"/>
      <c r="H13" s="99"/>
      <c r="I13" s="99"/>
    </row>
    <row r="14" spans="2:12" x14ac:dyDescent="0.2">
      <c r="B14" s="21"/>
    </row>
    <row r="15" spans="2:12" x14ac:dyDescent="0.2">
      <c r="B15" s="21"/>
    </row>
    <row r="16" spans="2:12" x14ac:dyDescent="0.2">
      <c r="B16" s="35">
        <f>NPER(4%,-4000*12,,1000000)</f>
        <v>15.45448195195819</v>
      </c>
    </row>
    <row r="19" spans="2:2" x14ac:dyDescent="0.2">
      <c r="B19" t="s">
        <v>74</v>
      </c>
    </row>
    <row r="22" spans="2:2" x14ac:dyDescent="0.2">
      <c r="B22" s="52">
        <f>NPER(0.048,-4500*12,,720000)</f>
        <v>10.55158713549333</v>
      </c>
    </row>
  </sheetData>
  <mergeCells count="2">
    <mergeCell ref="B7:I7"/>
    <mergeCell ref="B13:I13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fin_funkce</vt:lpstr>
      <vt:lpstr>úroková.míra</vt:lpstr>
      <vt:lpstr>platba</vt:lpstr>
      <vt:lpstr>platba.zaklad</vt:lpstr>
      <vt:lpstr>Procvicovani v2</vt:lpstr>
      <vt:lpstr>pocet.obdobi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ZdenekJ</dc:creator>
  <cp:lastModifiedBy>Roman Krulický</cp:lastModifiedBy>
  <cp:lastPrinted>2005-05-30T22:47:15Z</cp:lastPrinted>
  <dcterms:created xsi:type="dcterms:W3CDTF">2005-05-10T20:47:13Z</dcterms:created>
  <dcterms:modified xsi:type="dcterms:W3CDTF">2023-10-23T08:00:15Z</dcterms:modified>
</cp:coreProperties>
</file>