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cmsd-my.sharepoint.com/personal/it-romankrulicky_stredniskola_net/Documents/!!!IT 2025/III.IT/APP/EXCEL/"/>
    </mc:Choice>
  </mc:AlternateContent>
  <xr:revisionPtr revIDLastSave="451" documentId="8_{6143E7A1-416D-420C-B34E-2EEEA4D0470B}" xr6:coauthVersionLast="47" xr6:coauthVersionMax="47" xr10:uidLastSave="{7F81679E-BC2E-4EBF-987B-03B061B6015A}"/>
  <bookViews>
    <workbookView xWindow="3030" yWindow="3030" windowWidth="21600" windowHeight="11295" activeTab="2" xr2:uid="{00000000-000D-0000-FFFF-FFFF00000000}"/>
  </bookViews>
  <sheets>
    <sheet name="triko" sheetId="5" r:id="rId1"/>
    <sheet name="ceniktriko" sheetId="6" r:id="rId2"/>
    <sheet name="smisenezbozi" sheetId="4" r:id="rId3"/>
    <sheet name="cenik" sheetId="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4" l="1"/>
  <c r="I53" i="5"/>
  <c r="M6" i="5"/>
  <c r="M3" i="5"/>
  <c r="M4" i="5"/>
  <c r="M2" i="5"/>
  <c r="D53" i="5"/>
  <c r="L3" i="5"/>
  <c r="L4" i="5"/>
  <c r="L2" i="5"/>
  <c r="L6" i="5" s="1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D4" i="4"/>
  <c r="D5" i="4"/>
  <c r="D6" i="4"/>
  <c r="D7" i="4"/>
  <c r="F7" i="4" s="1"/>
  <c r="D8" i="4"/>
  <c r="F8" i="4" s="1"/>
  <c r="H8" i="4" s="1"/>
  <c r="I8" i="4" s="1"/>
  <c r="D9" i="4"/>
  <c r="D10" i="4"/>
  <c r="D11" i="4"/>
  <c r="F11" i="4" s="1"/>
  <c r="D12" i="4"/>
  <c r="D13" i="4"/>
  <c r="F13" i="4" s="1"/>
  <c r="D14" i="4"/>
  <c r="F14" i="4" s="1"/>
  <c r="H14" i="4" s="1"/>
  <c r="I14" i="4" s="1"/>
  <c r="D15" i="4"/>
  <c r="D16" i="4"/>
  <c r="D17" i="4"/>
  <c r="F17" i="4" s="1"/>
  <c r="D18" i="4"/>
  <c r="D19" i="4"/>
  <c r="F19" i="4" s="1"/>
  <c r="E4" i="4"/>
  <c r="E5" i="4"/>
  <c r="E6" i="4"/>
  <c r="E7" i="4"/>
  <c r="E8" i="4"/>
  <c r="E9" i="4"/>
  <c r="F9" i="4" s="1"/>
  <c r="H9" i="4" s="1"/>
  <c r="I9" i="4" s="1"/>
  <c r="E10" i="4"/>
  <c r="E11" i="4"/>
  <c r="E12" i="4"/>
  <c r="E13" i="4"/>
  <c r="E14" i="4"/>
  <c r="E15" i="4"/>
  <c r="F15" i="4" s="1"/>
  <c r="H15" i="4" s="1"/>
  <c r="I15" i="4" s="1"/>
  <c r="E16" i="4"/>
  <c r="E17" i="4"/>
  <c r="E18" i="4"/>
  <c r="E19" i="4"/>
  <c r="F5" i="4"/>
  <c r="F6" i="4"/>
  <c r="F18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H6" i="4"/>
  <c r="G20" i="4"/>
  <c r="E20" i="4"/>
  <c r="D20" i="4"/>
  <c r="F20" i="4" s="1"/>
  <c r="H20" i="4" s="1"/>
  <c r="I20" i="4" s="1"/>
  <c r="C20" i="4"/>
  <c r="F12" i="4" l="1"/>
  <c r="H12" i="4" s="1"/>
  <c r="I12" i="4" s="1"/>
  <c r="H19" i="4"/>
  <c r="I19" i="4" s="1"/>
  <c r="H13" i="4"/>
  <c r="I13" i="4" s="1"/>
  <c r="H7" i="4"/>
  <c r="I7" i="4" s="1"/>
  <c r="F16" i="4"/>
  <c r="H16" i="4" s="1"/>
  <c r="I16" i="4" s="1"/>
  <c r="F10" i="4"/>
  <c r="F4" i="4"/>
  <c r="H18" i="4"/>
  <c r="I18" i="4" s="1"/>
  <c r="H17" i="4"/>
  <c r="I17" i="4" s="1"/>
  <c r="H11" i="4"/>
  <c r="I11" i="4" s="1"/>
  <c r="H5" i="4"/>
  <c r="I5" i="4" s="1"/>
  <c r="H10" i="4"/>
  <c r="I10" i="4" s="1"/>
  <c r="H4" i="4"/>
  <c r="I4" i="4" s="1"/>
  <c r="I3" i="5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2" i="5"/>
  <c r="H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2" i="5"/>
  <c r="G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F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G51" i="5" s="1"/>
  <c r="F2" i="5"/>
  <c r="G2" i="5" s="1"/>
  <c r="H51" i="5" l="1"/>
  <c r="I51" i="5" s="1"/>
  <c r="F21" i="4"/>
  <c r="I21" i="4"/>
  <c r="H21" i="4"/>
</calcChain>
</file>

<file path=xl/sharedStrings.xml><?xml version="1.0" encoding="utf-8"?>
<sst xmlns="http://schemas.openxmlformats.org/spreadsheetml/2006/main" count="221" uniqueCount="73">
  <si>
    <t>Výrobek</t>
  </si>
  <si>
    <t>Množství v balení</t>
  </si>
  <si>
    <t>Jednotková cena</t>
  </si>
  <si>
    <t>Rabat</t>
  </si>
  <si>
    <t>Cukr krystal</t>
  </si>
  <si>
    <t>1 kg balení</t>
  </si>
  <si>
    <t>Grepový džus</t>
  </si>
  <si>
    <t>500 ml</t>
  </si>
  <si>
    <t>Hovězí konzerva</t>
  </si>
  <si>
    <t>20 x 0,5 kg konzerva</t>
  </si>
  <si>
    <t>Sardinky</t>
  </si>
  <si>
    <t>45 konzerv</t>
  </si>
  <si>
    <t>Smetana na šlehání</t>
  </si>
  <si>
    <t>12 x 200 ml láhve</t>
  </si>
  <si>
    <t>Káva</t>
  </si>
  <si>
    <t>250 g</t>
  </si>
  <si>
    <t>Kofola</t>
  </si>
  <si>
    <t>6 x 1,5 l  láhve</t>
  </si>
  <si>
    <t>1000 ml</t>
  </si>
  <si>
    <t>Jahodový džus</t>
  </si>
  <si>
    <t>10 x 1 l krabice</t>
  </si>
  <si>
    <t>Trvanlivé mléko</t>
  </si>
  <si>
    <t>Meloun vodní</t>
  </si>
  <si>
    <t>1 kg</t>
  </si>
  <si>
    <t>Vepřová krkovice</t>
  </si>
  <si>
    <t xml:space="preserve">Tvaroh </t>
  </si>
  <si>
    <t xml:space="preserve">250 g </t>
  </si>
  <si>
    <t>Červené víno</t>
  </si>
  <si>
    <t>6 x 0,75 l lahve</t>
  </si>
  <si>
    <t>DPH</t>
  </si>
  <si>
    <t>CD-R</t>
  </si>
  <si>
    <t>10 ks</t>
  </si>
  <si>
    <t>Videokazeta</t>
  </si>
  <si>
    <t>5 ks</t>
  </si>
  <si>
    <t>Varná konvice</t>
  </si>
  <si>
    <t>1 ks</t>
  </si>
  <si>
    <t>Cena bez DPH</t>
  </si>
  <si>
    <t>Nákupní cena</t>
  </si>
  <si>
    <t>Cena s DPH</t>
  </si>
  <si>
    <t>Celková cena</t>
  </si>
  <si>
    <t>Název zboží</t>
  </si>
  <si>
    <t>Počet</t>
  </si>
  <si>
    <t>Celkem</t>
  </si>
  <si>
    <t>-</t>
  </si>
  <si>
    <t>Prodejka</t>
  </si>
  <si>
    <t>Datum prodeje</t>
  </si>
  <si>
    <t>Počet balíků</t>
  </si>
  <si>
    <t>Počet ks v balení</t>
  </si>
  <si>
    <t>Triko</t>
  </si>
  <si>
    <t>Cena/ks</t>
  </si>
  <si>
    <t>Cena celkem</t>
  </si>
  <si>
    <t>Bondra</t>
  </si>
  <si>
    <t>XL</t>
  </si>
  <si>
    <t>XXL</t>
  </si>
  <si>
    <t>Kasandra</t>
  </si>
  <si>
    <t>XXXL</t>
  </si>
  <si>
    <t>Jamajka</t>
  </si>
  <si>
    <t>Ceníky</t>
  </si>
  <si>
    <t>Zboží</t>
  </si>
  <si>
    <t>Cena</t>
  </si>
  <si>
    <t>Příplatek</t>
  </si>
  <si>
    <t>Velikost</t>
  </si>
  <si>
    <t>Sleva (15%)</t>
  </si>
  <si>
    <t>Cena po slevě</t>
  </si>
  <si>
    <t>Smetana do kávy</t>
  </si>
  <si>
    <t>Název zboží bude doplňován pomocí seznamu</t>
  </si>
  <si>
    <t xml:space="preserve">Zadání </t>
  </si>
  <si>
    <t>Po vybrání zboží se doplní Množství v balení, Nákupní cena, Rabat a DPH z listu Ceník</t>
  </si>
  <si>
    <t>Po zadání počtu odebraných kusů balení se vypočte Cena bez DPH, Cena s DPH, Celková cena a řádek  Celkem (zobrazte na dvě desetinná místa).</t>
  </si>
  <si>
    <t>Celková cena bude zaokrouhlena na padesátihaléře směrem nahoru, Rabat a DPH zobrazeny v %</t>
  </si>
  <si>
    <t>Přehled prodeje</t>
  </si>
  <si>
    <t>Počet podejů</t>
  </si>
  <si>
    <t xml:space="preserve">Tržba za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</si>
</sst>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&quot;Kč&quot;_-;\-* #,##0.00\ &quot;Kč&quot;_-;_-* &quot;-&quot;??\ &quot;Kč&quot;_-;_-@_-"/>
    <numFmt numFmtId="165" formatCode="_-* #,##0\ [$Kč-405]_-;\-* #,##0\ [$Kč-405]_-;_-* &quot;-&quot;??\ [$Kč-405]_-;_-@_-"/>
    <numFmt numFmtId="166" formatCode="_-* #,##0\ &quot;Kč&quot;_-;\-* #,##0\ &quot;Kč&quot;_-;_-* &quot;-&quot;??\ &quot;Kč&quot;_-;_-@_-"/>
    <numFmt numFmtId="167" formatCode="#,##0\ &quot;Kč&quot;"/>
    <numFmt numFmtId="168" formatCode="#,##0.00\ &quot;Kč&quot;"/>
    <numFmt numFmtId="169" formatCode="_-* #,##0.00\ [$Kč-405]_-;\-* #,##0.00\ [$Kč-405]_-;_-* &quot;-&quot;??\ [$Kč-405]_-;_-@_-"/>
  </numFmts>
  <fonts count="14" x14ac:knownFonts="1">
    <font>
      <sz val="10"/>
      <name val="Arial CE"/>
      <charset val="238"/>
    </font>
    <font>
      <sz val="10"/>
      <name val="Arial CE"/>
      <charset val="238"/>
    </font>
    <font>
      <b/>
      <i/>
      <sz val="10"/>
      <name val="Arial CE"/>
      <family val="2"/>
      <charset val="238"/>
    </font>
    <font>
      <sz val="14"/>
      <color indexed="9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20"/>
      <name val="Arial CE"/>
      <charset val="238"/>
    </font>
    <font>
      <b/>
      <i/>
      <sz val="11"/>
      <name val="Arial CE"/>
      <family val="2"/>
      <charset val="238"/>
    </font>
    <font>
      <b/>
      <sz val="10"/>
      <color theme="0"/>
      <name val="Arial CE"/>
      <charset val="238"/>
    </font>
    <font>
      <sz val="10"/>
      <color theme="0"/>
      <name val="Arial CE"/>
      <charset val="238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1" xfId="0" applyBorder="1"/>
    <xf numFmtId="164" fontId="0" fillId="0" borderId="1" xfId="1" applyFont="1" applyBorder="1"/>
    <xf numFmtId="9" fontId="0" fillId="0" borderId="1" xfId="2" applyFont="1" applyBorder="1"/>
    <xf numFmtId="9" fontId="0" fillId="0" borderId="1" xfId="1" applyNumberFormat="1" applyFont="1" applyBorder="1"/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2" fillId="0" borderId="1" xfId="0" applyFont="1" applyBorder="1"/>
    <xf numFmtId="0" fontId="6" fillId="0" borderId="0" xfId="0" applyFont="1"/>
    <xf numFmtId="0" fontId="0" fillId="0" borderId="1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/>
    </xf>
    <xf numFmtId="0" fontId="7" fillId="3" borderId="1" xfId="0" applyFont="1" applyFill="1" applyBorder="1"/>
    <xf numFmtId="0" fontId="9" fillId="5" borderId="3" xfId="0" applyFont="1" applyFill="1" applyBorder="1" applyAlignment="1">
      <alignment horizontal="center"/>
    </xf>
    <xf numFmtId="10" fontId="9" fillId="5" borderId="3" xfId="0" applyNumberFormat="1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67" fontId="0" fillId="4" borderId="1" xfId="0" applyNumberFormat="1" applyFill="1" applyBorder="1" applyAlignment="1">
      <alignment horizontal="center"/>
    </xf>
    <xf numFmtId="9" fontId="0" fillId="4" borderId="1" xfId="2" applyFont="1" applyFill="1" applyBorder="1" applyAlignment="1">
      <alignment horizontal="center"/>
    </xf>
    <xf numFmtId="167" fontId="0" fillId="4" borderId="6" xfId="0" applyNumberFormat="1" applyFill="1" applyBorder="1" applyAlignment="1">
      <alignment horizontal="center"/>
    </xf>
    <xf numFmtId="167" fontId="8" fillId="5" borderId="3" xfId="0" applyNumberFormat="1" applyFont="1" applyFill="1" applyBorder="1" applyAlignment="1">
      <alignment horizontal="center"/>
    </xf>
    <xf numFmtId="167" fontId="8" fillId="5" borderId="4" xfId="0" applyNumberFormat="1" applyFont="1" applyFill="1" applyBorder="1" applyAlignment="1">
      <alignment horizontal="center"/>
    </xf>
    <xf numFmtId="0" fontId="10" fillId="0" borderId="0" xfId="0" applyFont="1"/>
    <xf numFmtId="14" fontId="11" fillId="0" borderId="18" xfId="0" applyNumberFormat="1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166" fontId="10" fillId="0" borderId="19" xfId="1" applyNumberFormat="1" applyFont="1" applyBorder="1" applyAlignment="1">
      <alignment horizontal="center" vertical="center"/>
    </xf>
    <xf numFmtId="165" fontId="10" fillId="0" borderId="19" xfId="0" applyNumberFormat="1" applyFont="1" applyBorder="1" applyAlignment="1">
      <alignment horizontal="center" vertical="center"/>
    </xf>
    <xf numFmtId="165" fontId="10" fillId="0" borderId="20" xfId="0" applyNumberFormat="1" applyFont="1" applyBorder="1" applyAlignment="1">
      <alignment horizontal="center" vertical="center"/>
    </xf>
    <xf numFmtId="14" fontId="11" fillId="0" borderId="13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66" fontId="10" fillId="0" borderId="1" xfId="1" applyNumberFormat="1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165" fontId="10" fillId="0" borderId="14" xfId="0" applyNumberFormat="1" applyFont="1" applyBorder="1" applyAlignment="1">
      <alignment horizontal="center" vertical="center"/>
    </xf>
    <xf numFmtId="1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166" fontId="10" fillId="0" borderId="16" xfId="1" applyNumberFormat="1" applyFont="1" applyBorder="1" applyAlignment="1">
      <alignment horizontal="center" vertical="center"/>
    </xf>
    <xf numFmtId="165" fontId="10" fillId="0" borderId="16" xfId="0" applyNumberFormat="1" applyFont="1" applyBorder="1" applyAlignment="1">
      <alignment horizontal="center" vertical="center"/>
    </xf>
    <xf numFmtId="165" fontId="10" fillId="0" borderId="17" xfId="0" applyNumberFormat="1" applyFont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8" fontId="10" fillId="0" borderId="0" xfId="0" applyNumberFormat="1" applyFont="1"/>
    <xf numFmtId="169" fontId="10" fillId="0" borderId="0" xfId="0" applyNumberFormat="1" applyFont="1"/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168" fontId="10" fillId="0" borderId="0" xfId="0" applyNumberFormat="1" applyFont="1" applyAlignment="1">
      <alignment horizontal="center"/>
    </xf>
    <xf numFmtId="0" fontId="12" fillId="0" borderId="0" xfId="0" applyFont="1"/>
    <xf numFmtId="168" fontId="12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3" fillId="2" borderId="0" xfId="0" applyFont="1" applyFill="1" applyAlignment="1">
      <alignment horizontal="center"/>
    </xf>
  </cellXfs>
  <cellStyles count="3">
    <cellStyle name="Měna" xfId="1" builtinId="4"/>
    <cellStyle name="Normální" xfId="0" builtinId="0"/>
    <cellStyle name="Procenta" xfId="2" builtinId="5"/>
  </cellStyles>
  <dxfs count="13">
    <dxf>
      <font>
        <strike val="0"/>
        <outline val="0"/>
        <shadow val="0"/>
        <u val="none"/>
        <vertAlign val="baseline"/>
        <name val="Calibri"/>
        <family val="2"/>
        <charset val="238"/>
        <scheme val="minor"/>
      </font>
      <numFmt numFmtId="165" formatCode="_-* #,##0\ [$Kč-405]_-;\-* #,##0\ [$Kč-405]_-;_-* &quot;-&quot;??\ [$Kč-405]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family val="2"/>
        <charset val="238"/>
        <scheme val="minor"/>
      </font>
      <numFmt numFmtId="165" formatCode="_-* #,##0\ [$Kč-405]_-;\-* #,##0\ [$Kč-405]_-;_-* &quot;-&quot;??\ [$Kč-405]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family val="2"/>
        <charset val="238"/>
        <scheme val="minor"/>
      </font>
      <numFmt numFmtId="165" formatCode="_-* #,##0\ [$Kč-405]_-;\-* #,##0\ [$Kč-405]_-;_-* &quot;-&quot;??\ [$Kč-405]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66" formatCode="_-* #,##0\ &quot;Kč&quot;_-;\-* #,##0\ &quot;Kč&quot;_-;_-* &quot;-&quot;??\ &quot;Kč&quot;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70" formatCode="dd/mm/yyyy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5BDB267-56F2-4A77-9094-191F39FCEBD3}" name="Tabulka1" displayName="Tabulka1" ref="A1:I51" totalsRowShown="0" headerRowDxfId="12" dataDxfId="10" headerRowBorderDxfId="11" tableBorderDxfId="9">
  <autoFilter ref="A1:I51" xr:uid="{C5BDB267-56F2-4A77-9094-191F39FCEBD3}"/>
  <tableColumns count="9">
    <tableColumn id="1" xr3:uid="{624797B8-4AA6-4269-8051-C31CC0924BA7}" name="Datum prodeje" dataDxfId="8"/>
    <tableColumn id="2" xr3:uid="{C63250CA-284E-4C54-B9A3-5EFEEE74DF8E}" name="Počet balíků" dataDxfId="7"/>
    <tableColumn id="3" xr3:uid="{9B84B6C0-2A3D-432C-84E5-51021F3DAA53}" name="Počet ks v balení" dataDxfId="6"/>
    <tableColumn id="4" xr3:uid="{A6D51096-0198-4776-A188-4215DBE3EDE5}" name="Triko" dataDxfId="5"/>
    <tableColumn id="5" xr3:uid="{1BC6B7D9-0300-467A-8FC3-C8EA50110CE7}" name="Velikost" dataDxfId="4"/>
    <tableColumn id="6" xr3:uid="{16F2B34C-A038-4DF8-9F48-36FE6EBE6BB8}" name="Cena/ks" dataDxfId="3" dataCellStyle="Měna">
      <calculatedColumnFormula>VLOOKUP(D2,ceniktriko!$A$3:$B$5,2)+VLOOKUP(E2,ceniktriko!$A$8:$B$10,2)</calculatedColumnFormula>
    </tableColumn>
    <tableColumn id="7" xr3:uid="{57973571-4D17-4201-83D3-E59187A03BCA}" name="Cena celkem" dataDxfId="2">
      <calculatedColumnFormula>F2*C2*B2</calculatedColumnFormula>
    </tableColumn>
    <tableColumn id="8" xr3:uid="{9E73ED7B-3A61-442B-B751-E7C5AE25E012}" name="Sleva (15%)" dataDxfId="1">
      <calculatedColumnFormula>G2*0.15</calculatedColumnFormula>
    </tableColumn>
    <tableColumn id="9" xr3:uid="{D166E466-5F34-4E9E-9BAF-424A65FFC528}" name="Cena po slevě" dataDxfId="0">
      <calculatedColumnFormula>G2-H2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3"/>
  <sheetViews>
    <sheetView showGridLines="0" workbookViewId="0">
      <selection activeCell="L30" sqref="L30"/>
    </sheetView>
  </sheetViews>
  <sheetFormatPr defaultRowHeight="12.75" x14ac:dyDescent="0.2"/>
  <cols>
    <col min="1" max="1" width="23.140625" style="25" bestFit="1" customWidth="1"/>
    <col min="2" max="2" width="19.85546875" style="25" bestFit="1" customWidth="1"/>
    <col min="3" max="3" width="25" style="25" bestFit="1" customWidth="1"/>
    <col min="4" max="4" width="11.5703125" style="44" bestFit="1" customWidth="1"/>
    <col min="5" max="5" width="15.140625" style="45" bestFit="1" customWidth="1"/>
    <col min="6" max="6" width="15" style="25" bestFit="1" customWidth="1"/>
    <col min="7" max="7" width="20.28515625" style="25" bestFit="1" customWidth="1"/>
    <col min="8" max="8" width="19.140625" style="25" bestFit="1" customWidth="1"/>
    <col min="9" max="9" width="21.5703125" style="25" bestFit="1" customWidth="1"/>
    <col min="10" max="10" width="9.140625" style="25"/>
    <col min="11" max="11" width="19.85546875" style="25" bestFit="1" customWidth="1"/>
    <col min="12" max="12" width="16.28515625" style="25" bestFit="1" customWidth="1"/>
    <col min="13" max="13" width="12.140625" style="25" bestFit="1" customWidth="1"/>
    <col min="14" max="16384" width="9.140625" style="25"/>
  </cols>
  <sheetData>
    <row r="1" spans="1:13" ht="19.5" thickBot="1" x14ac:dyDescent="0.25">
      <c r="A1" s="48" t="s">
        <v>45</v>
      </c>
      <c r="B1" s="49" t="s">
        <v>46</v>
      </c>
      <c r="C1" s="49" t="s">
        <v>47</v>
      </c>
      <c r="D1" s="49" t="s">
        <v>48</v>
      </c>
      <c r="E1" s="49" t="s">
        <v>61</v>
      </c>
      <c r="F1" s="49" t="s">
        <v>49</v>
      </c>
      <c r="G1" s="49" t="s">
        <v>50</v>
      </c>
      <c r="H1" s="49" t="s">
        <v>62</v>
      </c>
      <c r="I1" s="50" t="s">
        <v>63</v>
      </c>
      <c r="K1" s="48" t="s">
        <v>70</v>
      </c>
      <c r="L1" s="49" t="s">
        <v>71</v>
      </c>
      <c r="M1" s="50" t="s">
        <v>72</v>
      </c>
    </row>
    <row r="2" spans="1:13" x14ac:dyDescent="0.2">
      <c r="A2" s="26">
        <v>45054</v>
      </c>
      <c r="B2" s="27">
        <v>10</v>
      </c>
      <c r="C2" s="27">
        <v>6</v>
      </c>
      <c r="D2" s="28" t="s">
        <v>51</v>
      </c>
      <c r="E2" s="27" t="s">
        <v>52</v>
      </c>
      <c r="F2" s="29">
        <f>VLOOKUP(D2,ceniktriko!$A$3:$B$5,2)+VLOOKUP(E2,ceniktriko!$A$8:$B$10,2)</f>
        <v>150</v>
      </c>
      <c r="G2" s="30">
        <f>F2*C2*B2</f>
        <v>9000</v>
      </c>
      <c r="H2" s="30">
        <f>G2*0.15</f>
        <v>1350</v>
      </c>
      <c r="I2" s="31">
        <f>G2-H2</f>
        <v>7650</v>
      </c>
      <c r="K2" s="45" t="s">
        <v>51</v>
      </c>
      <c r="L2" s="45">
        <f>COUNTIF(Tabulka1[Triko],K2)</f>
        <v>17</v>
      </c>
      <c r="M2" s="51">
        <f>SUMIF(Tabulka1[Triko],K2,Tabulka1[Cena po slevě])</f>
        <v>174632.5</v>
      </c>
    </row>
    <row r="3" spans="1:13" x14ac:dyDescent="0.2">
      <c r="A3" s="32">
        <v>45055</v>
      </c>
      <c r="B3" s="33">
        <v>5</v>
      </c>
      <c r="C3" s="33">
        <v>8</v>
      </c>
      <c r="D3" s="34" t="s">
        <v>51</v>
      </c>
      <c r="E3" s="33" t="s">
        <v>53</v>
      </c>
      <c r="F3" s="35">
        <f>VLOOKUP(D3,ceniktriko!$A$3:$B$5,2)+VLOOKUP(E3,ceniktriko!$A$8:$B$10,2)</f>
        <v>170</v>
      </c>
      <c r="G3" s="36">
        <f t="shared" ref="G3:G51" si="0">F3*C3*B3</f>
        <v>6800</v>
      </c>
      <c r="H3" s="36">
        <f t="shared" ref="H3:H51" si="1">G3*0.15</f>
        <v>1020</v>
      </c>
      <c r="I3" s="37">
        <f t="shared" ref="I3:I51" si="2">G3-H3</f>
        <v>5780</v>
      </c>
      <c r="K3" s="45" t="s">
        <v>56</v>
      </c>
      <c r="L3" s="45">
        <f>COUNTIF(Tabulka1[Triko],K3)</f>
        <v>14</v>
      </c>
      <c r="M3" s="51">
        <f>SUMIF(Tabulka1[Triko],K3,Tabulka1[Cena po slevě])</f>
        <v>296055</v>
      </c>
    </row>
    <row r="4" spans="1:13" x14ac:dyDescent="0.2">
      <c r="A4" s="32">
        <v>45056</v>
      </c>
      <c r="B4" s="33">
        <v>10</v>
      </c>
      <c r="C4" s="33">
        <v>5</v>
      </c>
      <c r="D4" s="34" t="s">
        <v>54</v>
      </c>
      <c r="E4" s="33" t="s">
        <v>55</v>
      </c>
      <c r="F4" s="35">
        <f>VLOOKUP(D4,ceniktriko!$A$3:$B$5,2)+VLOOKUP(E4,ceniktriko!$A$8:$B$10,2)</f>
        <v>240</v>
      </c>
      <c r="G4" s="36">
        <f t="shared" si="0"/>
        <v>12000</v>
      </c>
      <c r="H4" s="36">
        <f t="shared" si="1"/>
        <v>1800</v>
      </c>
      <c r="I4" s="37">
        <f t="shared" si="2"/>
        <v>10200</v>
      </c>
      <c r="K4" s="45" t="s">
        <v>54</v>
      </c>
      <c r="L4" s="45">
        <f>COUNTIF(Tabulka1[Triko],K4)</f>
        <v>19</v>
      </c>
      <c r="M4" s="51">
        <f>SUMIF(Tabulka1[Triko],K4,Tabulka1[Cena po slevě])</f>
        <v>240210</v>
      </c>
    </row>
    <row r="5" spans="1:13" x14ac:dyDescent="0.2">
      <c r="A5" s="32">
        <v>45057</v>
      </c>
      <c r="B5" s="33">
        <v>10</v>
      </c>
      <c r="C5" s="33">
        <v>7</v>
      </c>
      <c r="D5" s="34" t="s">
        <v>54</v>
      </c>
      <c r="E5" s="33" t="s">
        <v>52</v>
      </c>
      <c r="F5" s="35">
        <f>VLOOKUP(D5,ceniktriko!$A$3:$B$5,2)+VLOOKUP(E5,ceniktriko!$A$8:$B$10,2)</f>
        <v>200</v>
      </c>
      <c r="G5" s="36">
        <f t="shared" si="0"/>
        <v>14000</v>
      </c>
      <c r="H5" s="36">
        <f t="shared" si="1"/>
        <v>2100</v>
      </c>
      <c r="I5" s="37">
        <f t="shared" si="2"/>
        <v>11900</v>
      </c>
      <c r="M5" s="46"/>
    </row>
    <row r="6" spans="1:13" x14ac:dyDescent="0.2">
      <c r="A6" s="32">
        <v>45058</v>
      </c>
      <c r="B6" s="33">
        <v>5</v>
      </c>
      <c r="C6" s="33">
        <v>9</v>
      </c>
      <c r="D6" s="34" t="s">
        <v>56</v>
      </c>
      <c r="E6" s="33" t="s">
        <v>53</v>
      </c>
      <c r="F6" s="35">
        <f>VLOOKUP(D6,ceniktriko!$A$3:$B$5,2)+VLOOKUP(E6,ceniktriko!$A$8:$B$10,2)</f>
        <v>270</v>
      </c>
      <c r="G6" s="36">
        <f t="shared" si="0"/>
        <v>12150</v>
      </c>
      <c r="H6" s="36">
        <f t="shared" si="1"/>
        <v>1822.5</v>
      </c>
      <c r="I6" s="37">
        <f t="shared" si="2"/>
        <v>10327.5</v>
      </c>
      <c r="L6" s="52">
        <f>SUM(L2:L4)</f>
        <v>50</v>
      </c>
      <c r="M6" s="53">
        <f>SUM(M2:M4)</f>
        <v>710897.5</v>
      </c>
    </row>
    <row r="7" spans="1:13" x14ac:dyDescent="0.2">
      <c r="A7" s="32">
        <v>45059</v>
      </c>
      <c r="B7" s="33">
        <v>20</v>
      </c>
      <c r="C7" s="33">
        <v>5</v>
      </c>
      <c r="D7" s="34" t="s">
        <v>54</v>
      </c>
      <c r="E7" s="33" t="s">
        <v>55</v>
      </c>
      <c r="F7" s="35">
        <f>VLOOKUP(D7,ceniktriko!$A$3:$B$5,2)+VLOOKUP(E7,ceniktriko!$A$8:$B$10,2)</f>
        <v>240</v>
      </c>
      <c r="G7" s="36">
        <f t="shared" si="0"/>
        <v>24000</v>
      </c>
      <c r="H7" s="36">
        <f t="shared" si="1"/>
        <v>3600</v>
      </c>
      <c r="I7" s="37">
        <f t="shared" si="2"/>
        <v>20400</v>
      </c>
    </row>
    <row r="8" spans="1:13" x14ac:dyDescent="0.2">
      <c r="A8" s="32">
        <v>45060</v>
      </c>
      <c r="B8" s="33">
        <v>20</v>
      </c>
      <c r="C8" s="33">
        <v>7</v>
      </c>
      <c r="D8" s="34" t="s">
        <v>51</v>
      </c>
      <c r="E8" s="33" t="s">
        <v>52</v>
      </c>
      <c r="F8" s="35">
        <f>VLOOKUP(D8,ceniktriko!$A$3:$B$5,2)+VLOOKUP(E8,ceniktriko!$A$8:$B$10,2)</f>
        <v>150</v>
      </c>
      <c r="G8" s="36">
        <f t="shared" si="0"/>
        <v>21000</v>
      </c>
      <c r="H8" s="36">
        <f t="shared" si="1"/>
        <v>3150</v>
      </c>
      <c r="I8" s="37">
        <f t="shared" si="2"/>
        <v>17850</v>
      </c>
    </row>
    <row r="9" spans="1:13" x14ac:dyDescent="0.2">
      <c r="A9" s="32">
        <v>45061</v>
      </c>
      <c r="B9" s="33">
        <v>10</v>
      </c>
      <c r="C9" s="33">
        <v>6</v>
      </c>
      <c r="D9" s="34" t="s">
        <v>51</v>
      </c>
      <c r="E9" s="33" t="s">
        <v>52</v>
      </c>
      <c r="F9" s="35">
        <f>VLOOKUP(D9,ceniktriko!$A$3:$B$5,2)+VLOOKUP(E9,ceniktriko!$A$8:$B$10,2)</f>
        <v>150</v>
      </c>
      <c r="G9" s="36">
        <f t="shared" si="0"/>
        <v>9000</v>
      </c>
      <c r="H9" s="36">
        <f t="shared" si="1"/>
        <v>1350</v>
      </c>
      <c r="I9" s="37">
        <f t="shared" si="2"/>
        <v>7650</v>
      </c>
    </row>
    <row r="10" spans="1:13" x14ac:dyDescent="0.2">
      <c r="A10" s="32">
        <v>45062</v>
      </c>
      <c r="B10" s="33">
        <v>5</v>
      </c>
      <c r="C10" s="33">
        <v>4</v>
      </c>
      <c r="D10" s="34" t="s">
        <v>54</v>
      </c>
      <c r="E10" s="33" t="s">
        <v>53</v>
      </c>
      <c r="F10" s="35">
        <f>VLOOKUP(D10,ceniktriko!$A$3:$B$5,2)+VLOOKUP(E10,ceniktriko!$A$8:$B$10,2)</f>
        <v>220</v>
      </c>
      <c r="G10" s="36">
        <f t="shared" si="0"/>
        <v>4400</v>
      </c>
      <c r="H10" s="36">
        <f t="shared" si="1"/>
        <v>660</v>
      </c>
      <c r="I10" s="37">
        <f t="shared" si="2"/>
        <v>3740</v>
      </c>
    </row>
    <row r="11" spans="1:13" x14ac:dyDescent="0.2">
      <c r="A11" s="32">
        <v>45063</v>
      </c>
      <c r="B11" s="33">
        <v>20</v>
      </c>
      <c r="C11" s="33">
        <v>8</v>
      </c>
      <c r="D11" s="34" t="s">
        <v>56</v>
      </c>
      <c r="E11" s="33" t="s">
        <v>53</v>
      </c>
      <c r="F11" s="35">
        <f>VLOOKUP(D11,ceniktriko!$A$3:$B$5,2)+VLOOKUP(E11,ceniktriko!$A$8:$B$10,2)</f>
        <v>270</v>
      </c>
      <c r="G11" s="36">
        <f t="shared" si="0"/>
        <v>43200</v>
      </c>
      <c r="H11" s="36">
        <f t="shared" si="1"/>
        <v>6480</v>
      </c>
      <c r="I11" s="37">
        <f t="shared" si="2"/>
        <v>36720</v>
      </c>
    </row>
    <row r="12" spans="1:13" x14ac:dyDescent="0.2">
      <c r="A12" s="32">
        <v>45064</v>
      </c>
      <c r="B12" s="33">
        <v>20</v>
      </c>
      <c r="C12" s="33">
        <v>6</v>
      </c>
      <c r="D12" s="34" t="s">
        <v>56</v>
      </c>
      <c r="E12" s="33" t="s">
        <v>55</v>
      </c>
      <c r="F12" s="35">
        <f>VLOOKUP(D12,ceniktriko!$A$3:$B$5,2)+VLOOKUP(E12,ceniktriko!$A$8:$B$10,2)</f>
        <v>290</v>
      </c>
      <c r="G12" s="36">
        <f t="shared" si="0"/>
        <v>34800</v>
      </c>
      <c r="H12" s="36">
        <f t="shared" si="1"/>
        <v>5220</v>
      </c>
      <c r="I12" s="37">
        <f t="shared" si="2"/>
        <v>29580</v>
      </c>
    </row>
    <row r="13" spans="1:13" x14ac:dyDescent="0.2">
      <c r="A13" s="32">
        <v>45065</v>
      </c>
      <c r="B13" s="33">
        <v>10</v>
      </c>
      <c r="C13" s="33">
        <v>5</v>
      </c>
      <c r="D13" s="34" t="s">
        <v>51</v>
      </c>
      <c r="E13" s="33" t="s">
        <v>55</v>
      </c>
      <c r="F13" s="35">
        <f>VLOOKUP(D13,ceniktriko!$A$3:$B$5,2)+VLOOKUP(E13,ceniktriko!$A$8:$B$10,2)</f>
        <v>190</v>
      </c>
      <c r="G13" s="36">
        <f t="shared" si="0"/>
        <v>9500</v>
      </c>
      <c r="H13" s="36">
        <f t="shared" si="1"/>
        <v>1425</v>
      </c>
      <c r="I13" s="37">
        <f t="shared" si="2"/>
        <v>8075</v>
      </c>
    </row>
    <row r="14" spans="1:13" x14ac:dyDescent="0.2">
      <c r="A14" s="32">
        <v>45066</v>
      </c>
      <c r="B14" s="33">
        <v>10</v>
      </c>
      <c r="C14" s="33">
        <v>7</v>
      </c>
      <c r="D14" s="34" t="s">
        <v>54</v>
      </c>
      <c r="E14" s="33" t="s">
        <v>52</v>
      </c>
      <c r="F14" s="35">
        <f>VLOOKUP(D14,ceniktriko!$A$3:$B$5,2)+VLOOKUP(E14,ceniktriko!$A$8:$B$10,2)</f>
        <v>200</v>
      </c>
      <c r="G14" s="36">
        <f t="shared" si="0"/>
        <v>14000</v>
      </c>
      <c r="H14" s="36">
        <f t="shared" si="1"/>
        <v>2100</v>
      </c>
      <c r="I14" s="37">
        <f t="shared" si="2"/>
        <v>11900</v>
      </c>
    </row>
    <row r="15" spans="1:13" x14ac:dyDescent="0.2">
      <c r="A15" s="32">
        <v>45067</v>
      </c>
      <c r="B15" s="33">
        <v>10</v>
      </c>
      <c r="C15" s="33">
        <v>6</v>
      </c>
      <c r="D15" s="34" t="s">
        <v>56</v>
      </c>
      <c r="E15" s="33" t="s">
        <v>53</v>
      </c>
      <c r="F15" s="35">
        <f>VLOOKUP(D15,ceniktriko!$A$3:$B$5,2)+VLOOKUP(E15,ceniktriko!$A$8:$B$10,2)</f>
        <v>270</v>
      </c>
      <c r="G15" s="36">
        <f t="shared" si="0"/>
        <v>16200</v>
      </c>
      <c r="H15" s="36">
        <f t="shared" si="1"/>
        <v>2430</v>
      </c>
      <c r="I15" s="37">
        <f t="shared" si="2"/>
        <v>13770</v>
      </c>
    </row>
    <row r="16" spans="1:13" x14ac:dyDescent="0.2">
      <c r="A16" s="32">
        <v>45068</v>
      </c>
      <c r="B16" s="33">
        <v>5</v>
      </c>
      <c r="C16" s="33">
        <v>8</v>
      </c>
      <c r="D16" s="34" t="s">
        <v>51</v>
      </c>
      <c r="E16" s="33" t="s">
        <v>55</v>
      </c>
      <c r="F16" s="35">
        <f>VLOOKUP(D16,ceniktriko!$A$3:$B$5,2)+VLOOKUP(E16,ceniktriko!$A$8:$B$10,2)</f>
        <v>190</v>
      </c>
      <c r="G16" s="36">
        <f t="shared" si="0"/>
        <v>7600</v>
      </c>
      <c r="H16" s="36">
        <f t="shared" si="1"/>
        <v>1140</v>
      </c>
      <c r="I16" s="37">
        <f t="shared" si="2"/>
        <v>6460</v>
      </c>
    </row>
    <row r="17" spans="1:9" x14ac:dyDescent="0.2">
      <c r="A17" s="32">
        <v>45069</v>
      </c>
      <c r="B17" s="33">
        <v>10</v>
      </c>
      <c r="C17" s="33">
        <v>5</v>
      </c>
      <c r="D17" s="34" t="s">
        <v>54</v>
      </c>
      <c r="E17" s="33" t="s">
        <v>52</v>
      </c>
      <c r="F17" s="35">
        <f>VLOOKUP(D17,ceniktriko!$A$3:$B$5,2)+VLOOKUP(E17,ceniktriko!$A$8:$B$10,2)</f>
        <v>200</v>
      </c>
      <c r="G17" s="36">
        <f t="shared" si="0"/>
        <v>10000</v>
      </c>
      <c r="H17" s="36">
        <f t="shared" si="1"/>
        <v>1500</v>
      </c>
      <c r="I17" s="37">
        <f t="shared" si="2"/>
        <v>8500</v>
      </c>
    </row>
    <row r="18" spans="1:9" x14ac:dyDescent="0.2">
      <c r="A18" s="32">
        <v>45070</v>
      </c>
      <c r="B18" s="33">
        <v>10</v>
      </c>
      <c r="C18" s="33">
        <v>7</v>
      </c>
      <c r="D18" s="34" t="s">
        <v>54</v>
      </c>
      <c r="E18" s="33" t="s">
        <v>53</v>
      </c>
      <c r="F18" s="35">
        <f>VLOOKUP(D18,ceniktriko!$A$3:$B$5,2)+VLOOKUP(E18,ceniktriko!$A$8:$B$10,2)</f>
        <v>220</v>
      </c>
      <c r="G18" s="36">
        <f t="shared" si="0"/>
        <v>15400</v>
      </c>
      <c r="H18" s="36">
        <f t="shared" si="1"/>
        <v>2310</v>
      </c>
      <c r="I18" s="37">
        <f t="shared" si="2"/>
        <v>13090</v>
      </c>
    </row>
    <row r="19" spans="1:9" x14ac:dyDescent="0.2">
      <c r="A19" s="32">
        <v>45071</v>
      </c>
      <c r="B19" s="33">
        <v>5</v>
      </c>
      <c r="C19" s="33">
        <v>9</v>
      </c>
      <c r="D19" s="34" t="s">
        <v>56</v>
      </c>
      <c r="E19" s="33" t="s">
        <v>55</v>
      </c>
      <c r="F19" s="35">
        <f>VLOOKUP(D19,ceniktriko!$A$3:$B$5,2)+VLOOKUP(E19,ceniktriko!$A$8:$B$10,2)</f>
        <v>290</v>
      </c>
      <c r="G19" s="36">
        <f t="shared" si="0"/>
        <v>13050</v>
      </c>
      <c r="H19" s="36">
        <f t="shared" si="1"/>
        <v>1957.5</v>
      </c>
      <c r="I19" s="37">
        <f t="shared" si="2"/>
        <v>11092.5</v>
      </c>
    </row>
    <row r="20" spans="1:9" x14ac:dyDescent="0.2">
      <c r="A20" s="32">
        <v>45072</v>
      </c>
      <c r="B20" s="33">
        <v>20</v>
      </c>
      <c r="C20" s="33">
        <v>5</v>
      </c>
      <c r="D20" s="34" t="s">
        <v>51</v>
      </c>
      <c r="E20" s="33" t="s">
        <v>52</v>
      </c>
      <c r="F20" s="35">
        <f>VLOOKUP(D20,ceniktriko!$A$3:$B$5,2)+VLOOKUP(E20,ceniktriko!$A$8:$B$10,2)</f>
        <v>150</v>
      </c>
      <c r="G20" s="36">
        <f t="shared" si="0"/>
        <v>15000</v>
      </c>
      <c r="H20" s="36">
        <f t="shared" si="1"/>
        <v>2250</v>
      </c>
      <c r="I20" s="37">
        <f t="shared" si="2"/>
        <v>12750</v>
      </c>
    </row>
    <row r="21" spans="1:9" x14ac:dyDescent="0.2">
      <c r="A21" s="32">
        <v>45073</v>
      </c>
      <c r="B21" s="33">
        <v>20</v>
      </c>
      <c r="C21" s="33">
        <v>7</v>
      </c>
      <c r="D21" s="34" t="s">
        <v>51</v>
      </c>
      <c r="E21" s="33" t="s">
        <v>53</v>
      </c>
      <c r="F21" s="35">
        <f>VLOOKUP(D21,ceniktriko!$A$3:$B$5,2)+VLOOKUP(E21,ceniktriko!$A$8:$B$10,2)</f>
        <v>170</v>
      </c>
      <c r="G21" s="36">
        <f t="shared" si="0"/>
        <v>23800</v>
      </c>
      <c r="H21" s="36">
        <f t="shared" si="1"/>
        <v>3570</v>
      </c>
      <c r="I21" s="37">
        <f t="shared" si="2"/>
        <v>20230</v>
      </c>
    </row>
    <row r="22" spans="1:9" x14ac:dyDescent="0.2">
      <c r="A22" s="32">
        <v>45074</v>
      </c>
      <c r="B22" s="33">
        <v>10</v>
      </c>
      <c r="C22" s="33">
        <v>6</v>
      </c>
      <c r="D22" s="34" t="s">
        <v>54</v>
      </c>
      <c r="E22" s="33" t="s">
        <v>55</v>
      </c>
      <c r="F22" s="35">
        <f>VLOOKUP(D22,ceniktriko!$A$3:$B$5,2)+VLOOKUP(E22,ceniktriko!$A$8:$B$10,2)</f>
        <v>240</v>
      </c>
      <c r="G22" s="36">
        <f t="shared" si="0"/>
        <v>14400</v>
      </c>
      <c r="H22" s="36">
        <f t="shared" si="1"/>
        <v>2160</v>
      </c>
      <c r="I22" s="37">
        <f t="shared" si="2"/>
        <v>12240</v>
      </c>
    </row>
    <row r="23" spans="1:9" x14ac:dyDescent="0.2">
      <c r="A23" s="32">
        <v>45075</v>
      </c>
      <c r="B23" s="33">
        <v>5</v>
      </c>
      <c r="C23" s="33">
        <v>4</v>
      </c>
      <c r="D23" s="34" t="s">
        <v>54</v>
      </c>
      <c r="E23" s="33" t="s">
        <v>53</v>
      </c>
      <c r="F23" s="35">
        <f>VLOOKUP(D23,ceniktriko!$A$3:$B$5,2)+VLOOKUP(E23,ceniktriko!$A$8:$B$10,2)</f>
        <v>220</v>
      </c>
      <c r="G23" s="36">
        <f t="shared" si="0"/>
        <v>4400</v>
      </c>
      <c r="H23" s="36">
        <f t="shared" si="1"/>
        <v>660</v>
      </c>
      <c r="I23" s="37">
        <f t="shared" si="2"/>
        <v>3740</v>
      </c>
    </row>
    <row r="24" spans="1:9" x14ac:dyDescent="0.2">
      <c r="A24" s="32">
        <v>45076</v>
      </c>
      <c r="B24" s="33">
        <v>20</v>
      </c>
      <c r="C24" s="33">
        <v>8</v>
      </c>
      <c r="D24" s="34" t="s">
        <v>56</v>
      </c>
      <c r="E24" s="33" t="s">
        <v>53</v>
      </c>
      <c r="F24" s="35">
        <f>VLOOKUP(D24,ceniktriko!$A$3:$B$5,2)+VLOOKUP(E24,ceniktriko!$A$8:$B$10,2)</f>
        <v>270</v>
      </c>
      <c r="G24" s="36">
        <f t="shared" si="0"/>
        <v>43200</v>
      </c>
      <c r="H24" s="36">
        <f t="shared" si="1"/>
        <v>6480</v>
      </c>
      <c r="I24" s="37">
        <f t="shared" si="2"/>
        <v>36720</v>
      </c>
    </row>
    <row r="25" spans="1:9" x14ac:dyDescent="0.2">
      <c r="A25" s="32">
        <v>45077</v>
      </c>
      <c r="B25" s="33">
        <v>20</v>
      </c>
      <c r="C25" s="33">
        <v>6</v>
      </c>
      <c r="D25" s="34" t="s">
        <v>54</v>
      </c>
      <c r="E25" s="33" t="s">
        <v>55</v>
      </c>
      <c r="F25" s="35">
        <f>VLOOKUP(D25,ceniktriko!$A$3:$B$5,2)+VLOOKUP(E25,ceniktriko!$A$8:$B$10,2)</f>
        <v>240</v>
      </c>
      <c r="G25" s="36">
        <f t="shared" si="0"/>
        <v>28800</v>
      </c>
      <c r="H25" s="36">
        <f t="shared" si="1"/>
        <v>4320</v>
      </c>
      <c r="I25" s="37">
        <f t="shared" si="2"/>
        <v>24480</v>
      </c>
    </row>
    <row r="26" spans="1:9" x14ac:dyDescent="0.2">
      <c r="A26" s="32">
        <v>45078</v>
      </c>
      <c r="B26" s="33">
        <v>10</v>
      </c>
      <c r="C26" s="33">
        <v>5</v>
      </c>
      <c r="D26" s="34" t="s">
        <v>51</v>
      </c>
      <c r="E26" s="33" t="s">
        <v>55</v>
      </c>
      <c r="F26" s="35">
        <f>VLOOKUP(D26,ceniktriko!$A$3:$B$5,2)+VLOOKUP(E26,ceniktriko!$A$8:$B$10,2)</f>
        <v>190</v>
      </c>
      <c r="G26" s="36">
        <f t="shared" si="0"/>
        <v>9500</v>
      </c>
      <c r="H26" s="36">
        <f t="shared" si="1"/>
        <v>1425</v>
      </c>
      <c r="I26" s="37">
        <f t="shared" si="2"/>
        <v>8075</v>
      </c>
    </row>
    <row r="27" spans="1:9" x14ac:dyDescent="0.2">
      <c r="A27" s="32">
        <v>45079</v>
      </c>
      <c r="B27" s="33">
        <v>10</v>
      </c>
      <c r="C27" s="33">
        <v>7</v>
      </c>
      <c r="D27" s="34" t="s">
        <v>51</v>
      </c>
      <c r="E27" s="33" t="s">
        <v>52</v>
      </c>
      <c r="F27" s="35">
        <f>VLOOKUP(D27,ceniktriko!$A$3:$B$5,2)+VLOOKUP(E27,ceniktriko!$A$8:$B$10,2)</f>
        <v>150</v>
      </c>
      <c r="G27" s="36">
        <f t="shared" si="0"/>
        <v>10500</v>
      </c>
      <c r="H27" s="36">
        <f t="shared" si="1"/>
        <v>1575</v>
      </c>
      <c r="I27" s="37">
        <f t="shared" si="2"/>
        <v>8925</v>
      </c>
    </row>
    <row r="28" spans="1:9" x14ac:dyDescent="0.2">
      <c r="A28" s="32">
        <v>45080</v>
      </c>
      <c r="B28" s="33">
        <v>10</v>
      </c>
      <c r="C28" s="33">
        <v>6</v>
      </c>
      <c r="D28" s="34" t="s">
        <v>54</v>
      </c>
      <c r="E28" s="33" t="s">
        <v>53</v>
      </c>
      <c r="F28" s="35">
        <f>VLOOKUP(D28,ceniktriko!$A$3:$B$5,2)+VLOOKUP(E28,ceniktriko!$A$8:$B$10,2)</f>
        <v>220</v>
      </c>
      <c r="G28" s="36">
        <f t="shared" si="0"/>
        <v>13200</v>
      </c>
      <c r="H28" s="36">
        <f t="shared" si="1"/>
        <v>1980</v>
      </c>
      <c r="I28" s="37">
        <f t="shared" si="2"/>
        <v>11220</v>
      </c>
    </row>
    <row r="29" spans="1:9" x14ac:dyDescent="0.2">
      <c r="A29" s="32">
        <v>45081</v>
      </c>
      <c r="B29" s="33">
        <v>5</v>
      </c>
      <c r="C29" s="33">
        <v>8</v>
      </c>
      <c r="D29" s="34" t="s">
        <v>56</v>
      </c>
      <c r="E29" s="33" t="s">
        <v>55</v>
      </c>
      <c r="F29" s="35">
        <f>VLOOKUP(D29,ceniktriko!$A$3:$B$5,2)+VLOOKUP(E29,ceniktriko!$A$8:$B$10,2)</f>
        <v>290</v>
      </c>
      <c r="G29" s="36">
        <f t="shared" si="0"/>
        <v>11600</v>
      </c>
      <c r="H29" s="36">
        <f t="shared" si="1"/>
        <v>1740</v>
      </c>
      <c r="I29" s="37">
        <f t="shared" si="2"/>
        <v>9860</v>
      </c>
    </row>
    <row r="30" spans="1:9" x14ac:dyDescent="0.2">
      <c r="A30" s="32">
        <v>45082</v>
      </c>
      <c r="B30" s="33">
        <v>10</v>
      </c>
      <c r="C30" s="33">
        <v>5</v>
      </c>
      <c r="D30" s="34" t="s">
        <v>56</v>
      </c>
      <c r="E30" s="33" t="s">
        <v>53</v>
      </c>
      <c r="F30" s="35">
        <f>VLOOKUP(D30,ceniktriko!$A$3:$B$5,2)+VLOOKUP(E30,ceniktriko!$A$8:$B$10,2)</f>
        <v>270</v>
      </c>
      <c r="G30" s="36">
        <f t="shared" si="0"/>
        <v>13500</v>
      </c>
      <c r="H30" s="36">
        <f t="shared" si="1"/>
        <v>2025</v>
      </c>
      <c r="I30" s="37">
        <f t="shared" si="2"/>
        <v>11475</v>
      </c>
    </row>
    <row r="31" spans="1:9" x14ac:dyDescent="0.2">
      <c r="A31" s="32">
        <v>45083</v>
      </c>
      <c r="B31" s="33">
        <v>10</v>
      </c>
      <c r="C31" s="33">
        <v>7</v>
      </c>
      <c r="D31" s="34" t="s">
        <v>51</v>
      </c>
      <c r="E31" s="33" t="s">
        <v>53</v>
      </c>
      <c r="F31" s="35">
        <f>VLOOKUP(D31,ceniktriko!$A$3:$B$5,2)+VLOOKUP(E31,ceniktriko!$A$8:$B$10,2)</f>
        <v>170</v>
      </c>
      <c r="G31" s="36">
        <f t="shared" si="0"/>
        <v>11900</v>
      </c>
      <c r="H31" s="36">
        <f t="shared" si="1"/>
        <v>1785</v>
      </c>
      <c r="I31" s="37">
        <f t="shared" si="2"/>
        <v>10115</v>
      </c>
    </row>
    <row r="32" spans="1:9" x14ac:dyDescent="0.2">
      <c r="A32" s="32">
        <v>45084</v>
      </c>
      <c r="B32" s="33">
        <v>5</v>
      </c>
      <c r="C32" s="33">
        <v>9</v>
      </c>
      <c r="D32" s="34" t="s">
        <v>54</v>
      </c>
      <c r="E32" s="33" t="s">
        <v>55</v>
      </c>
      <c r="F32" s="35">
        <f>VLOOKUP(D32,ceniktriko!$A$3:$B$5,2)+VLOOKUP(E32,ceniktriko!$A$8:$B$10,2)</f>
        <v>240</v>
      </c>
      <c r="G32" s="36">
        <f t="shared" si="0"/>
        <v>10800</v>
      </c>
      <c r="H32" s="36">
        <f t="shared" si="1"/>
        <v>1620</v>
      </c>
      <c r="I32" s="37">
        <f t="shared" si="2"/>
        <v>9180</v>
      </c>
    </row>
    <row r="33" spans="1:9" x14ac:dyDescent="0.2">
      <c r="A33" s="32">
        <v>45085</v>
      </c>
      <c r="B33" s="33">
        <v>20</v>
      </c>
      <c r="C33" s="33">
        <v>5</v>
      </c>
      <c r="D33" s="34" t="s">
        <v>56</v>
      </c>
      <c r="E33" s="33" t="s">
        <v>55</v>
      </c>
      <c r="F33" s="35">
        <f>VLOOKUP(D33,ceniktriko!$A$3:$B$5,2)+VLOOKUP(E33,ceniktriko!$A$8:$B$10,2)</f>
        <v>290</v>
      </c>
      <c r="G33" s="36">
        <f t="shared" si="0"/>
        <v>29000</v>
      </c>
      <c r="H33" s="36">
        <f t="shared" si="1"/>
        <v>4350</v>
      </c>
      <c r="I33" s="37">
        <f t="shared" si="2"/>
        <v>24650</v>
      </c>
    </row>
    <row r="34" spans="1:9" x14ac:dyDescent="0.2">
      <c r="A34" s="32">
        <v>45086</v>
      </c>
      <c r="B34" s="33">
        <v>20</v>
      </c>
      <c r="C34" s="33">
        <v>7</v>
      </c>
      <c r="D34" s="34" t="s">
        <v>51</v>
      </c>
      <c r="E34" s="33" t="s">
        <v>52</v>
      </c>
      <c r="F34" s="35">
        <f>VLOOKUP(D34,ceniktriko!$A$3:$B$5,2)+VLOOKUP(E34,ceniktriko!$A$8:$B$10,2)</f>
        <v>150</v>
      </c>
      <c r="G34" s="36">
        <f t="shared" si="0"/>
        <v>21000</v>
      </c>
      <c r="H34" s="36">
        <f t="shared" si="1"/>
        <v>3150</v>
      </c>
      <c r="I34" s="37">
        <f t="shared" si="2"/>
        <v>17850</v>
      </c>
    </row>
    <row r="35" spans="1:9" x14ac:dyDescent="0.2">
      <c r="A35" s="32">
        <v>45087</v>
      </c>
      <c r="B35" s="33">
        <v>10</v>
      </c>
      <c r="C35" s="33">
        <v>6</v>
      </c>
      <c r="D35" s="34" t="s">
        <v>51</v>
      </c>
      <c r="E35" s="33" t="s">
        <v>53</v>
      </c>
      <c r="F35" s="35">
        <f>VLOOKUP(D35,ceniktriko!$A$3:$B$5,2)+VLOOKUP(E35,ceniktriko!$A$8:$B$10,2)</f>
        <v>170</v>
      </c>
      <c r="G35" s="36">
        <f t="shared" si="0"/>
        <v>10200</v>
      </c>
      <c r="H35" s="36">
        <f t="shared" si="1"/>
        <v>1530</v>
      </c>
      <c r="I35" s="37">
        <f t="shared" si="2"/>
        <v>8670</v>
      </c>
    </row>
    <row r="36" spans="1:9" x14ac:dyDescent="0.2">
      <c r="A36" s="32">
        <v>45088</v>
      </c>
      <c r="B36" s="33">
        <v>5</v>
      </c>
      <c r="C36" s="33">
        <v>4</v>
      </c>
      <c r="D36" s="34" t="s">
        <v>54</v>
      </c>
      <c r="E36" s="33" t="s">
        <v>55</v>
      </c>
      <c r="F36" s="35">
        <f>VLOOKUP(D36,ceniktriko!$A$3:$B$5,2)+VLOOKUP(E36,ceniktriko!$A$8:$B$10,2)</f>
        <v>240</v>
      </c>
      <c r="G36" s="36">
        <f t="shared" si="0"/>
        <v>4800</v>
      </c>
      <c r="H36" s="36">
        <f t="shared" si="1"/>
        <v>720</v>
      </c>
      <c r="I36" s="37">
        <f t="shared" si="2"/>
        <v>4080</v>
      </c>
    </row>
    <row r="37" spans="1:9" x14ac:dyDescent="0.2">
      <c r="A37" s="32">
        <v>45089</v>
      </c>
      <c r="B37" s="33">
        <v>20</v>
      </c>
      <c r="C37" s="33">
        <v>8</v>
      </c>
      <c r="D37" s="34" t="s">
        <v>54</v>
      </c>
      <c r="E37" s="33" t="s">
        <v>52</v>
      </c>
      <c r="F37" s="35">
        <f>VLOOKUP(D37,ceniktriko!$A$3:$B$5,2)+VLOOKUP(E37,ceniktriko!$A$8:$B$10,2)</f>
        <v>200</v>
      </c>
      <c r="G37" s="36">
        <f t="shared" si="0"/>
        <v>32000</v>
      </c>
      <c r="H37" s="36">
        <f t="shared" si="1"/>
        <v>4800</v>
      </c>
      <c r="I37" s="37">
        <f t="shared" si="2"/>
        <v>27200</v>
      </c>
    </row>
    <row r="38" spans="1:9" x14ac:dyDescent="0.2">
      <c r="A38" s="32">
        <v>45090</v>
      </c>
      <c r="B38" s="33">
        <v>20</v>
      </c>
      <c r="C38" s="33">
        <v>6</v>
      </c>
      <c r="D38" s="34" t="s">
        <v>56</v>
      </c>
      <c r="E38" s="33" t="s">
        <v>53</v>
      </c>
      <c r="F38" s="35">
        <f>VLOOKUP(D38,ceniktriko!$A$3:$B$5,2)+VLOOKUP(E38,ceniktriko!$A$8:$B$10,2)</f>
        <v>270</v>
      </c>
      <c r="G38" s="36">
        <f t="shared" si="0"/>
        <v>32400</v>
      </c>
      <c r="H38" s="36">
        <f t="shared" si="1"/>
        <v>4860</v>
      </c>
      <c r="I38" s="37">
        <f t="shared" si="2"/>
        <v>27540</v>
      </c>
    </row>
    <row r="39" spans="1:9" x14ac:dyDescent="0.2">
      <c r="A39" s="32">
        <v>45091</v>
      </c>
      <c r="B39" s="33">
        <v>10</v>
      </c>
      <c r="C39" s="33">
        <v>5</v>
      </c>
      <c r="D39" s="34" t="s">
        <v>54</v>
      </c>
      <c r="E39" s="33" t="s">
        <v>55</v>
      </c>
      <c r="F39" s="35">
        <f>VLOOKUP(D39,ceniktriko!$A$3:$B$5,2)+VLOOKUP(E39,ceniktriko!$A$8:$B$10,2)</f>
        <v>240</v>
      </c>
      <c r="G39" s="36">
        <f t="shared" si="0"/>
        <v>12000</v>
      </c>
      <c r="H39" s="36">
        <f t="shared" si="1"/>
        <v>1800</v>
      </c>
      <c r="I39" s="37">
        <f t="shared" si="2"/>
        <v>10200</v>
      </c>
    </row>
    <row r="40" spans="1:9" x14ac:dyDescent="0.2">
      <c r="A40" s="32">
        <v>45092</v>
      </c>
      <c r="B40" s="33">
        <v>10</v>
      </c>
      <c r="C40" s="33">
        <v>7</v>
      </c>
      <c r="D40" s="34" t="s">
        <v>51</v>
      </c>
      <c r="E40" s="33" t="s">
        <v>52</v>
      </c>
      <c r="F40" s="35">
        <f>VLOOKUP(D40,ceniktriko!$A$3:$B$5,2)+VLOOKUP(E40,ceniktriko!$A$8:$B$10,2)</f>
        <v>150</v>
      </c>
      <c r="G40" s="36">
        <f t="shared" si="0"/>
        <v>10500</v>
      </c>
      <c r="H40" s="36">
        <f t="shared" si="1"/>
        <v>1575</v>
      </c>
      <c r="I40" s="37">
        <f t="shared" si="2"/>
        <v>8925</v>
      </c>
    </row>
    <row r="41" spans="1:9" x14ac:dyDescent="0.2">
      <c r="A41" s="32">
        <v>45093</v>
      </c>
      <c r="B41" s="33">
        <v>10</v>
      </c>
      <c r="C41" s="33">
        <v>6</v>
      </c>
      <c r="D41" s="34" t="s">
        <v>51</v>
      </c>
      <c r="E41" s="33" t="s">
        <v>53</v>
      </c>
      <c r="F41" s="35">
        <f>VLOOKUP(D41,ceniktriko!$A$3:$B$5,2)+VLOOKUP(E41,ceniktriko!$A$8:$B$10,2)</f>
        <v>170</v>
      </c>
      <c r="G41" s="36">
        <f t="shared" si="0"/>
        <v>10200</v>
      </c>
      <c r="H41" s="36">
        <f t="shared" si="1"/>
        <v>1530</v>
      </c>
      <c r="I41" s="37">
        <f t="shared" si="2"/>
        <v>8670</v>
      </c>
    </row>
    <row r="42" spans="1:9" x14ac:dyDescent="0.2">
      <c r="A42" s="32">
        <v>45094</v>
      </c>
      <c r="B42" s="33">
        <v>5</v>
      </c>
      <c r="C42" s="33">
        <v>8</v>
      </c>
      <c r="D42" s="34" t="s">
        <v>54</v>
      </c>
      <c r="E42" s="33" t="s">
        <v>55</v>
      </c>
      <c r="F42" s="35">
        <f>VLOOKUP(D42,ceniktriko!$A$3:$B$5,2)+VLOOKUP(E42,ceniktriko!$A$8:$B$10,2)</f>
        <v>240</v>
      </c>
      <c r="G42" s="36">
        <f t="shared" si="0"/>
        <v>9600</v>
      </c>
      <c r="H42" s="36">
        <f t="shared" si="1"/>
        <v>1440</v>
      </c>
      <c r="I42" s="37">
        <f t="shared" si="2"/>
        <v>8160</v>
      </c>
    </row>
    <row r="43" spans="1:9" x14ac:dyDescent="0.2">
      <c r="A43" s="32">
        <v>45095</v>
      </c>
      <c r="B43" s="33">
        <v>10</v>
      </c>
      <c r="C43" s="33">
        <v>5</v>
      </c>
      <c r="D43" s="34" t="s">
        <v>56</v>
      </c>
      <c r="E43" s="33" t="s">
        <v>52</v>
      </c>
      <c r="F43" s="35">
        <f>VLOOKUP(D43,ceniktriko!$A$3:$B$5,2)+VLOOKUP(E43,ceniktriko!$A$8:$B$10,2)</f>
        <v>250</v>
      </c>
      <c r="G43" s="36">
        <f t="shared" si="0"/>
        <v>12500</v>
      </c>
      <c r="H43" s="36">
        <f t="shared" si="1"/>
        <v>1875</v>
      </c>
      <c r="I43" s="37">
        <f t="shared" si="2"/>
        <v>10625</v>
      </c>
    </row>
    <row r="44" spans="1:9" x14ac:dyDescent="0.2">
      <c r="A44" s="32">
        <v>45096</v>
      </c>
      <c r="B44" s="33">
        <v>10</v>
      </c>
      <c r="C44" s="33">
        <v>7</v>
      </c>
      <c r="D44" s="34" t="s">
        <v>56</v>
      </c>
      <c r="E44" s="33" t="s">
        <v>53</v>
      </c>
      <c r="F44" s="35">
        <f>VLOOKUP(D44,ceniktriko!$A$3:$B$5,2)+VLOOKUP(E44,ceniktriko!$A$8:$B$10,2)</f>
        <v>270</v>
      </c>
      <c r="G44" s="36">
        <f t="shared" si="0"/>
        <v>18900</v>
      </c>
      <c r="H44" s="36">
        <f t="shared" si="1"/>
        <v>2835</v>
      </c>
      <c r="I44" s="37">
        <f t="shared" si="2"/>
        <v>16065</v>
      </c>
    </row>
    <row r="45" spans="1:9" x14ac:dyDescent="0.2">
      <c r="A45" s="32">
        <v>45097</v>
      </c>
      <c r="B45" s="33">
        <v>5</v>
      </c>
      <c r="C45" s="33">
        <v>9</v>
      </c>
      <c r="D45" s="34" t="s">
        <v>51</v>
      </c>
      <c r="E45" s="33" t="s">
        <v>55</v>
      </c>
      <c r="F45" s="35">
        <f>VLOOKUP(D45,ceniktriko!$A$3:$B$5,2)+VLOOKUP(E45,ceniktriko!$A$8:$B$10,2)</f>
        <v>190</v>
      </c>
      <c r="G45" s="36">
        <f t="shared" si="0"/>
        <v>8550</v>
      </c>
      <c r="H45" s="36">
        <f t="shared" si="1"/>
        <v>1282.5</v>
      </c>
      <c r="I45" s="37">
        <f t="shared" si="2"/>
        <v>7267.5</v>
      </c>
    </row>
    <row r="46" spans="1:9" x14ac:dyDescent="0.2">
      <c r="A46" s="32">
        <v>45098</v>
      </c>
      <c r="B46" s="33">
        <v>20</v>
      </c>
      <c r="C46" s="33">
        <v>5</v>
      </c>
      <c r="D46" s="34" t="s">
        <v>54</v>
      </c>
      <c r="E46" s="33" t="s">
        <v>53</v>
      </c>
      <c r="F46" s="35">
        <f>VLOOKUP(D46,ceniktriko!$A$3:$B$5,2)+VLOOKUP(E46,ceniktriko!$A$8:$B$10,2)</f>
        <v>220</v>
      </c>
      <c r="G46" s="36">
        <f t="shared" si="0"/>
        <v>22000</v>
      </c>
      <c r="H46" s="36">
        <f t="shared" si="1"/>
        <v>3300</v>
      </c>
      <c r="I46" s="37">
        <f t="shared" si="2"/>
        <v>18700</v>
      </c>
    </row>
    <row r="47" spans="1:9" x14ac:dyDescent="0.2">
      <c r="A47" s="32">
        <v>45099</v>
      </c>
      <c r="B47" s="33">
        <v>20</v>
      </c>
      <c r="C47" s="33">
        <v>7</v>
      </c>
      <c r="D47" s="34" t="s">
        <v>56</v>
      </c>
      <c r="E47" s="33" t="s">
        <v>53</v>
      </c>
      <c r="F47" s="35">
        <f>VLOOKUP(D47,ceniktriko!$A$3:$B$5,2)+VLOOKUP(E47,ceniktriko!$A$8:$B$10,2)</f>
        <v>270</v>
      </c>
      <c r="G47" s="36">
        <f t="shared" si="0"/>
        <v>37800</v>
      </c>
      <c r="H47" s="36">
        <f t="shared" si="1"/>
        <v>5670</v>
      </c>
      <c r="I47" s="37">
        <f t="shared" si="2"/>
        <v>32130</v>
      </c>
    </row>
    <row r="48" spans="1:9" x14ac:dyDescent="0.2">
      <c r="A48" s="32">
        <v>45100</v>
      </c>
      <c r="B48" s="33">
        <v>10</v>
      </c>
      <c r="C48" s="33">
        <v>6</v>
      </c>
      <c r="D48" s="34" t="s">
        <v>51</v>
      </c>
      <c r="E48" s="33" t="s">
        <v>55</v>
      </c>
      <c r="F48" s="35">
        <f>VLOOKUP(D48,ceniktriko!$A$3:$B$5,2)+VLOOKUP(E48,ceniktriko!$A$8:$B$10,2)</f>
        <v>190</v>
      </c>
      <c r="G48" s="36">
        <f t="shared" si="0"/>
        <v>11400</v>
      </c>
      <c r="H48" s="36">
        <f t="shared" si="1"/>
        <v>1710</v>
      </c>
      <c r="I48" s="37">
        <f t="shared" si="2"/>
        <v>9690</v>
      </c>
    </row>
    <row r="49" spans="1:9" x14ac:dyDescent="0.2">
      <c r="A49" s="32">
        <v>45101</v>
      </c>
      <c r="B49" s="33">
        <v>5</v>
      </c>
      <c r="C49" s="33">
        <v>4</v>
      </c>
      <c r="D49" s="34" t="s">
        <v>54</v>
      </c>
      <c r="E49" s="33" t="s">
        <v>55</v>
      </c>
      <c r="F49" s="35">
        <f>VLOOKUP(D49,ceniktriko!$A$3:$B$5,2)+VLOOKUP(E49,ceniktriko!$A$8:$B$10,2)</f>
        <v>240</v>
      </c>
      <c r="G49" s="36">
        <f t="shared" si="0"/>
        <v>4800</v>
      </c>
      <c r="H49" s="36">
        <f t="shared" si="1"/>
        <v>720</v>
      </c>
      <c r="I49" s="37">
        <f t="shared" si="2"/>
        <v>4080</v>
      </c>
    </row>
    <row r="50" spans="1:9" x14ac:dyDescent="0.2">
      <c r="A50" s="32">
        <v>45102</v>
      </c>
      <c r="B50" s="33">
        <v>20</v>
      </c>
      <c r="C50" s="33">
        <v>8</v>
      </c>
      <c r="D50" s="34" t="s">
        <v>54</v>
      </c>
      <c r="E50" s="33" t="s">
        <v>52</v>
      </c>
      <c r="F50" s="35">
        <f>VLOOKUP(D50,ceniktriko!$A$3:$B$5,2)+VLOOKUP(E50,ceniktriko!$A$8:$B$10,2)</f>
        <v>200</v>
      </c>
      <c r="G50" s="36">
        <f t="shared" si="0"/>
        <v>32000</v>
      </c>
      <c r="H50" s="36">
        <f t="shared" si="1"/>
        <v>4800</v>
      </c>
      <c r="I50" s="37">
        <f t="shared" si="2"/>
        <v>27200</v>
      </c>
    </row>
    <row r="51" spans="1:9" x14ac:dyDescent="0.2">
      <c r="A51" s="38">
        <v>45103</v>
      </c>
      <c r="B51" s="39">
        <v>20</v>
      </c>
      <c r="C51" s="39">
        <v>6</v>
      </c>
      <c r="D51" s="40" t="s">
        <v>56</v>
      </c>
      <c r="E51" s="39" t="s">
        <v>52</v>
      </c>
      <c r="F51" s="41">
        <f>VLOOKUP(D51,ceniktriko!$A$3:$B$5,2)+VLOOKUP(E51,ceniktriko!$A$8:$B$10,2)</f>
        <v>250</v>
      </c>
      <c r="G51" s="42">
        <f t="shared" si="0"/>
        <v>30000</v>
      </c>
      <c r="H51" s="42">
        <f t="shared" si="1"/>
        <v>4500</v>
      </c>
      <c r="I51" s="43">
        <f t="shared" si="2"/>
        <v>25500</v>
      </c>
    </row>
    <row r="53" spans="1:9" x14ac:dyDescent="0.2">
      <c r="D53" s="44">
        <f>COUNTA(Tabulka1[Triko])</f>
        <v>50</v>
      </c>
      <c r="I53" s="47">
        <f>SUM(Tabulka1[Cena po slevě])</f>
        <v>710897.5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"/>
  <sheetViews>
    <sheetView workbookViewId="0">
      <selection activeCell="A3" sqref="A3:A5"/>
    </sheetView>
  </sheetViews>
  <sheetFormatPr defaultRowHeight="12.75" x14ac:dyDescent="0.2"/>
  <cols>
    <col min="1" max="1" width="9.7109375" customWidth="1"/>
  </cols>
  <sheetData>
    <row r="1" spans="1:2" x14ac:dyDescent="0.2">
      <c r="A1" s="54" t="s">
        <v>57</v>
      </c>
      <c r="B1" s="54"/>
    </row>
    <row r="2" spans="1:2" x14ac:dyDescent="0.2">
      <c r="A2" s="9" t="s">
        <v>58</v>
      </c>
      <c r="B2" s="9" t="s">
        <v>59</v>
      </c>
    </row>
    <row r="3" spans="1:2" x14ac:dyDescent="0.2">
      <c r="A3" s="5" t="s">
        <v>51</v>
      </c>
      <c r="B3" s="1">
        <v>150</v>
      </c>
    </row>
    <row r="4" spans="1:2" x14ac:dyDescent="0.2">
      <c r="A4" s="5" t="s">
        <v>56</v>
      </c>
      <c r="B4" s="1">
        <v>250</v>
      </c>
    </row>
    <row r="5" spans="1:2" x14ac:dyDescent="0.2">
      <c r="A5" s="5" t="s">
        <v>54</v>
      </c>
      <c r="B5" s="1">
        <v>200</v>
      </c>
    </row>
    <row r="7" spans="1:2" x14ac:dyDescent="0.2">
      <c r="A7" s="9" t="s">
        <v>61</v>
      </c>
      <c r="B7" s="9" t="s">
        <v>60</v>
      </c>
    </row>
    <row r="8" spans="1:2" x14ac:dyDescent="0.2">
      <c r="A8" s="1" t="s">
        <v>52</v>
      </c>
      <c r="B8" s="1">
        <v>0</v>
      </c>
    </row>
    <row r="9" spans="1:2" x14ac:dyDescent="0.2">
      <c r="A9" s="1" t="s">
        <v>53</v>
      </c>
      <c r="B9" s="1">
        <v>20</v>
      </c>
    </row>
    <row r="10" spans="1:2" x14ac:dyDescent="0.2">
      <c r="A10" s="1" t="s">
        <v>55</v>
      </c>
      <c r="B10" s="1">
        <v>40</v>
      </c>
    </row>
  </sheetData>
  <mergeCells count="1">
    <mergeCell ref="A1:B1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4"/>
  <sheetViews>
    <sheetView showGridLines="0" tabSelected="1" topLeftCell="A2" workbookViewId="0">
      <selection activeCell="I6" sqref="I6"/>
    </sheetView>
  </sheetViews>
  <sheetFormatPr defaultRowHeight="12.75" x14ac:dyDescent="0.2"/>
  <cols>
    <col min="1" max="1" width="17.7109375" bestFit="1" customWidth="1"/>
    <col min="2" max="2" width="7.28515625" customWidth="1"/>
    <col min="3" max="3" width="18.7109375" bestFit="1" customWidth="1"/>
    <col min="4" max="4" width="13.5703125" customWidth="1"/>
    <col min="5" max="5" width="6.85546875" customWidth="1"/>
    <col min="6" max="6" width="12" bestFit="1" customWidth="1"/>
    <col min="7" max="7" width="7.7109375" bestFit="1" customWidth="1"/>
    <col min="8" max="9" width="12" bestFit="1" customWidth="1"/>
    <col min="10" max="10" width="6.140625" customWidth="1"/>
    <col min="11" max="11" width="6.5703125" customWidth="1"/>
    <col min="12" max="12" width="17.7109375" bestFit="1" customWidth="1"/>
    <col min="13" max="13" width="13" customWidth="1"/>
  </cols>
  <sheetData>
    <row r="1" spans="1:14" ht="18" x14ac:dyDescent="0.25">
      <c r="A1" s="55" t="s">
        <v>44</v>
      </c>
      <c r="B1" s="55"/>
      <c r="C1" s="55"/>
      <c r="D1" s="55"/>
      <c r="E1" s="55"/>
      <c r="F1" s="55"/>
      <c r="G1" s="55"/>
      <c r="H1" s="55"/>
      <c r="I1" s="55"/>
    </row>
    <row r="2" spans="1:14" ht="27" thickBot="1" x14ac:dyDescent="0.45">
      <c r="N2" s="8" t="s">
        <v>66</v>
      </c>
    </row>
    <row r="3" spans="1:14" ht="27" customHeight="1" x14ac:dyDescent="0.2">
      <c r="A3" s="10" t="s">
        <v>40</v>
      </c>
      <c r="B3" s="11" t="s">
        <v>41</v>
      </c>
      <c r="C3" s="11" t="s">
        <v>1</v>
      </c>
      <c r="D3" s="11" t="s">
        <v>37</v>
      </c>
      <c r="E3" s="11" t="s">
        <v>3</v>
      </c>
      <c r="F3" s="12" t="s">
        <v>36</v>
      </c>
      <c r="G3" s="11" t="s">
        <v>29</v>
      </c>
      <c r="H3" s="12" t="s">
        <v>38</v>
      </c>
      <c r="I3" s="13" t="s">
        <v>39</v>
      </c>
      <c r="N3" t="s">
        <v>65</v>
      </c>
    </row>
    <row r="4" spans="1:14" ht="12.75" customHeight="1" x14ac:dyDescent="0.2">
      <c r="A4" s="14" t="s">
        <v>30</v>
      </c>
      <c r="B4" s="19">
        <v>1</v>
      </c>
      <c r="C4" s="19" t="str">
        <f>IF(A4&lt;&gt;0,VLOOKUP(A4,cenik!$A$3:$E$19,2)," ")</f>
        <v>10 ks</v>
      </c>
      <c r="D4" s="20">
        <f>IF(A4&lt;&gt;0,VLOOKUP(A4,cenik!$A$3:$E$19,3)," ")</f>
        <v>111</v>
      </c>
      <c r="E4" s="21">
        <f>IF(A4&lt;&gt;0,VLOOKUP(A4,cenik!$A$3:$E$19,5),"")</f>
        <v>0.12</v>
      </c>
      <c r="F4" s="20">
        <f t="shared" ref="F4:F19" si="0">IF(A4&lt;&gt;0,D4+D4*E4,"")</f>
        <v>124.32</v>
      </c>
      <c r="G4" s="21">
        <f>IF(A4&lt;&gt;0,VLOOKUP(A4,cenik!$A$3:$E$19,4),"")</f>
        <v>0.21</v>
      </c>
      <c r="H4" s="20">
        <f t="shared" ref="H4:H19" si="1">IF(A4&lt;&gt;0,F4+F4*G4,"")</f>
        <v>150.4272</v>
      </c>
      <c r="I4" s="22">
        <f t="shared" ref="I4:I19" si="2">IF(A4&lt;&gt;0,H4*B4,"")</f>
        <v>150.4272</v>
      </c>
      <c r="L4" s="1" t="s">
        <v>43</v>
      </c>
    </row>
    <row r="5" spans="1:14" ht="12.75" customHeight="1" x14ac:dyDescent="0.2">
      <c r="A5" s="14" t="s">
        <v>4</v>
      </c>
      <c r="B5" s="19">
        <v>8</v>
      </c>
      <c r="C5" s="19" t="str">
        <f>IF(A5&lt;&gt;0,VLOOKUP(A5,cenik!$A$3:$E$19,2)," ")</f>
        <v>1 kg balení</v>
      </c>
      <c r="D5" s="20">
        <f>IF(A5&lt;&gt;0,VLOOKUP(A5,cenik!$A$3:$E$19,3)," ")</f>
        <v>18</v>
      </c>
      <c r="E5" s="21">
        <f>IF(A5&lt;&gt;0,VLOOKUP(A5,cenik!$A$3:$E$19,5),"")</f>
        <v>0.12</v>
      </c>
      <c r="F5" s="20">
        <f t="shared" si="0"/>
        <v>20.16</v>
      </c>
      <c r="G5" s="21">
        <f>IF(A5&lt;&gt;0,VLOOKUP(A5,cenik!$A$3:$E$19,4),"")</f>
        <v>0.15</v>
      </c>
      <c r="H5" s="20">
        <f t="shared" si="1"/>
        <v>23.184000000000001</v>
      </c>
      <c r="I5" s="22">
        <f t="shared" si="2"/>
        <v>185.47200000000001</v>
      </c>
      <c r="L5" s="1" t="s">
        <v>30</v>
      </c>
      <c r="N5" t="s">
        <v>67</v>
      </c>
    </row>
    <row r="6" spans="1:14" ht="12.75" customHeight="1" x14ac:dyDescent="0.2">
      <c r="A6" s="14" t="s">
        <v>27</v>
      </c>
      <c r="B6" s="19">
        <v>5</v>
      </c>
      <c r="C6" s="19" t="str">
        <f>IF(A6&lt;&gt;0,VLOOKUP(A6,cenik!$A$3:$E$19,2)," ")</f>
        <v>6 x 0,75 l lahve</v>
      </c>
      <c r="D6" s="20">
        <f>IF(A6&lt;&gt;0,VLOOKUP(A6,cenik!$A$3:$E$19,3)," ")</f>
        <v>350</v>
      </c>
      <c r="E6" s="21">
        <f>IF(A6&lt;&gt;0,VLOOKUP(A6,cenik!$A$3:$E$19,5),"")</f>
        <v>0.14000000000000001</v>
      </c>
      <c r="F6" s="20">
        <f t="shared" si="0"/>
        <v>399</v>
      </c>
      <c r="G6" s="21">
        <f>IF(A6&lt;&gt;0,VLOOKUP(A6,cenik!$A$3:$E$19,4),"")</f>
        <v>0.21</v>
      </c>
      <c r="H6" s="20">
        <f t="shared" si="1"/>
        <v>482.78999999999996</v>
      </c>
      <c r="I6" s="22">
        <f>IF(A6&lt;&gt;0,H6*B6,"")</f>
        <v>2413.9499999999998</v>
      </c>
      <c r="L6" s="1" t="s">
        <v>4</v>
      </c>
    </row>
    <row r="7" spans="1:14" ht="12.75" customHeight="1" x14ac:dyDescent="0.2">
      <c r="A7" s="14" t="s">
        <v>6</v>
      </c>
      <c r="B7" s="19">
        <v>15</v>
      </c>
      <c r="C7" s="19" t="str">
        <f>IF(A7&lt;&gt;0,VLOOKUP(A7,cenik!$A$3:$E$19,2)," ")</f>
        <v>500 ml</v>
      </c>
      <c r="D7" s="20">
        <f>IF(A7&lt;&gt;0,VLOOKUP(A7,cenik!$A$3:$E$19,3)," ")</f>
        <v>26</v>
      </c>
      <c r="E7" s="21">
        <f>IF(A7&lt;&gt;0,VLOOKUP(A7,cenik!$A$3:$E$19,5),"")</f>
        <v>0.12</v>
      </c>
      <c r="F7" s="20">
        <f t="shared" si="0"/>
        <v>29.12</v>
      </c>
      <c r="G7" s="21">
        <f>IF(A7&lt;&gt;0,VLOOKUP(A7,cenik!$A$3:$E$19,4),"")</f>
        <v>0.15</v>
      </c>
      <c r="H7" s="20">
        <f t="shared" si="1"/>
        <v>33.488</v>
      </c>
      <c r="I7" s="22">
        <f t="shared" si="2"/>
        <v>502.32</v>
      </c>
      <c r="L7" s="1" t="s">
        <v>27</v>
      </c>
      <c r="N7" t="s">
        <v>68</v>
      </c>
    </row>
    <row r="8" spans="1:14" ht="12.75" customHeight="1" x14ac:dyDescent="0.2">
      <c r="A8" s="14" t="s">
        <v>8</v>
      </c>
      <c r="B8" s="19">
        <v>12</v>
      </c>
      <c r="C8" s="19" t="str">
        <f>IF(A8&lt;&gt;0,VLOOKUP(A8,cenik!$A$3:$E$19,2)," ")</f>
        <v>20 x 0,5 kg konzerva</v>
      </c>
      <c r="D8" s="20">
        <f>IF(A8&lt;&gt;0,VLOOKUP(A8,cenik!$A$3:$E$19,3)," ")</f>
        <v>680</v>
      </c>
      <c r="E8" s="21">
        <f>IF(A8&lt;&gt;0,VLOOKUP(A8,cenik!$A$3:$E$19,5),"")</f>
        <v>0.2</v>
      </c>
      <c r="F8" s="20">
        <f t="shared" si="0"/>
        <v>816</v>
      </c>
      <c r="G8" s="21">
        <f>IF(A8&lt;&gt;0,VLOOKUP(A8,cenik!$A$3:$E$19,4),"")</f>
        <v>0.15</v>
      </c>
      <c r="H8" s="20">
        <f t="shared" si="1"/>
        <v>938.4</v>
      </c>
      <c r="I8" s="22">
        <f t="shared" si="2"/>
        <v>11260.8</v>
      </c>
      <c r="L8" s="1" t="s">
        <v>6</v>
      </c>
    </row>
    <row r="9" spans="1:14" ht="12.75" customHeight="1" x14ac:dyDescent="0.2">
      <c r="A9" s="14" t="s">
        <v>19</v>
      </c>
      <c r="B9" s="19">
        <v>18</v>
      </c>
      <c r="C9" s="19" t="str">
        <f>IF(A9&lt;&gt;0,VLOOKUP(A9,cenik!$A$3:$E$19,2)," ")</f>
        <v>1000 ml</v>
      </c>
      <c r="D9" s="20">
        <f>IF(A9&lt;&gt;0,VLOOKUP(A9,cenik!$A$3:$E$19,3)," ")</f>
        <v>28</v>
      </c>
      <c r="E9" s="21">
        <f>IF(A9&lt;&gt;0,VLOOKUP(A9,cenik!$A$3:$E$19,5),"")</f>
        <v>0.1</v>
      </c>
      <c r="F9" s="20">
        <f t="shared" si="0"/>
        <v>30.8</v>
      </c>
      <c r="G9" s="21">
        <f>IF(A9&lt;&gt;0,VLOOKUP(A9,cenik!$A$3:$E$19,4),"")</f>
        <v>0.15</v>
      </c>
      <c r="H9" s="20">
        <f t="shared" si="1"/>
        <v>35.42</v>
      </c>
      <c r="I9" s="22">
        <f t="shared" si="2"/>
        <v>637.56000000000006</v>
      </c>
      <c r="L9" s="1" t="s">
        <v>8</v>
      </c>
      <c r="N9" t="s">
        <v>69</v>
      </c>
    </row>
    <row r="10" spans="1:14" ht="12.75" customHeight="1" x14ac:dyDescent="0.2">
      <c r="A10" s="14" t="s">
        <v>14</v>
      </c>
      <c r="B10" s="19">
        <v>25</v>
      </c>
      <c r="C10" s="19" t="str">
        <f>IF(A10&lt;&gt;0,VLOOKUP(A10,cenik!$A$3:$E$19,2)," ")</f>
        <v>250 g</v>
      </c>
      <c r="D10" s="20">
        <f>IF(A10&lt;&gt;0,VLOOKUP(A10,cenik!$A$3:$E$19,3)," ")</f>
        <v>450</v>
      </c>
      <c r="E10" s="21">
        <f>IF(A10&lt;&gt;0,VLOOKUP(A10,cenik!$A$3:$E$19,5),"")</f>
        <v>0.1</v>
      </c>
      <c r="F10" s="20">
        <f t="shared" si="0"/>
        <v>495</v>
      </c>
      <c r="G10" s="21">
        <f>IF(A10&lt;&gt;0,VLOOKUP(A10,cenik!$A$3:$E$19,4),"")</f>
        <v>0.15</v>
      </c>
      <c r="H10" s="20">
        <f t="shared" si="1"/>
        <v>569.25</v>
      </c>
      <c r="I10" s="22">
        <f t="shared" si="2"/>
        <v>14231.25</v>
      </c>
      <c r="L10" s="1" t="s">
        <v>19</v>
      </c>
    </row>
    <row r="11" spans="1:14" ht="12.75" customHeight="1" x14ac:dyDescent="0.2">
      <c r="A11" s="14" t="s">
        <v>16</v>
      </c>
      <c r="B11" s="19">
        <v>365</v>
      </c>
      <c r="C11" s="19" t="str">
        <f>IF(A11&lt;&gt;0,VLOOKUP(A11,cenik!$A$3:$E$19,2)," ")</f>
        <v>6 x 1,5 l  láhve</v>
      </c>
      <c r="D11" s="20">
        <f>IF(A11&lt;&gt;0,VLOOKUP(A11,cenik!$A$3:$E$19,3)," ")</f>
        <v>78</v>
      </c>
      <c r="E11" s="21">
        <f>IF(A11&lt;&gt;0,VLOOKUP(A11,cenik!$A$3:$E$19,5),"")</f>
        <v>0.15</v>
      </c>
      <c r="F11" s="20">
        <f t="shared" si="0"/>
        <v>89.7</v>
      </c>
      <c r="G11" s="21">
        <f>IF(A11&lt;&gt;0,VLOOKUP(A11,cenik!$A$3:$E$19,4),"")</f>
        <v>0.15</v>
      </c>
      <c r="H11" s="20">
        <f t="shared" si="1"/>
        <v>103.155</v>
      </c>
      <c r="I11" s="22">
        <f t="shared" si="2"/>
        <v>37651.574999999997</v>
      </c>
      <c r="L11" s="1" t="s">
        <v>14</v>
      </c>
    </row>
    <row r="12" spans="1:14" x14ac:dyDescent="0.2">
      <c r="A12" s="14" t="s">
        <v>22</v>
      </c>
      <c r="B12" s="19">
        <v>78</v>
      </c>
      <c r="C12" s="19" t="str">
        <f>IF(A12&lt;&gt;0,VLOOKUP(A12,cenik!$A$3:$E$19,2)," ")</f>
        <v>1 kg</v>
      </c>
      <c r="D12" s="20">
        <f>IF(A12&lt;&gt;0,VLOOKUP(A12,cenik!$A$3:$E$19,3)," ")</f>
        <v>9.5</v>
      </c>
      <c r="E12" s="21">
        <f>IF(A12&lt;&gt;0,VLOOKUP(A12,cenik!$A$3:$E$19,5),"")</f>
        <v>0.12</v>
      </c>
      <c r="F12" s="20">
        <f t="shared" si="0"/>
        <v>10.64</v>
      </c>
      <c r="G12" s="21">
        <f>IF(A12&lt;&gt;0,VLOOKUP(A12,cenik!$A$3:$E$19,4),"")</f>
        <v>0.15</v>
      </c>
      <c r="H12" s="20">
        <f t="shared" si="1"/>
        <v>12.236000000000001</v>
      </c>
      <c r="I12" s="22">
        <f t="shared" si="2"/>
        <v>954.40800000000002</v>
      </c>
      <c r="L12" s="1" t="s">
        <v>16</v>
      </c>
    </row>
    <row r="13" spans="1:14" x14ac:dyDescent="0.2">
      <c r="A13" s="14" t="s">
        <v>10</v>
      </c>
      <c r="B13" s="19">
        <v>5</v>
      </c>
      <c r="C13" s="19" t="str">
        <f>IF(A13&lt;&gt;0,VLOOKUP(A13,cenik!$A$3:$E$19,2)," ")</f>
        <v>45 konzerv</v>
      </c>
      <c r="D13" s="20">
        <f>IF(A13&lt;&gt;0,VLOOKUP(A13,cenik!$A$3:$E$19,3)," ")</f>
        <v>750</v>
      </c>
      <c r="E13" s="21">
        <f>IF(A13&lt;&gt;0,VLOOKUP(A13,cenik!$A$3:$E$19,5),"")</f>
        <v>0.15</v>
      </c>
      <c r="F13" s="20">
        <f t="shared" si="0"/>
        <v>862.5</v>
      </c>
      <c r="G13" s="21">
        <f>IF(A13&lt;&gt;0,VLOOKUP(A13,cenik!$A$3:$E$19,4),"")</f>
        <v>0.15</v>
      </c>
      <c r="H13" s="20">
        <f t="shared" si="1"/>
        <v>991.875</v>
      </c>
      <c r="I13" s="22">
        <f t="shared" si="2"/>
        <v>4959.375</v>
      </c>
      <c r="L13" s="1" t="s">
        <v>22</v>
      </c>
    </row>
    <row r="14" spans="1:14" x14ac:dyDescent="0.2">
      <c r="A14" s="14" t="s">
        <v>12</v>
      </c>
      <c r="B14" s="19">
        <v>9</v>
      </c>
      <c r="C14" s="19" t="str">
        <f>IF(A14&lt;&gt;0,VLOOKUP(A14,cenik!$A$3:$E$19,2)," ")</f>
        <v>12 x 200 ml láhve</v>
      </c>
      <c r="D14" s="20">
        <f>IF(A14&lt;&gt;0,VLOOKUP(A14,cenik!$A$3:$E$19,3)," ")</f>
        <v>98</v>
      </c>
      <c r="E14" s="21">
        <f>IF(A14&lt;&gt;0,VLOOKUP(A14,cenik!$A$3:$E$19,5),"")</f>
        <v>0.1</v>
      </c>
      <c r="F14" s="20">
        <f t="shared" si="0"/>
        <v>107.8</v>
      </c>
      <c r="G14" s="21">
        <f>IF(A14&lt;&gt;0,VLOOKUP(A14,cenik!$A$3:$E$19,4),"")</f>
        <v>0.15</v>
      </c>
      <c r="H14" s="20">
        <f t="shared" si="1"/>
        <v>123.97</v>
      </c>
      <c r="I14" s="22">
        <f t="shared" si="2"/>
        <v>1115.73</v>
      </c>
      <c r="L14" s="1" t="s">
        <v>10</v>
      </c>
    </row>
    <row r="15" spans="1:14" x14ac:dyDescent="0.2">
      <c r="A15" s="14" t="s">
        <v>64</v>
      </c>
      <c r="B15" s="19">
        <v>23</v>
      </c>
      <c r="C15" s="19" t="str">
        <f>IF(A15&lt;&gt;0,VLOOKUP(A15,cenik!$A$3:$E$19,2)," ")</f>
        <v>45 konzerv</v>
      </c>
      <c r="D15" s="20">
        <f>IF(A15&lt;&gt;0,VLOOKUP(A15,cenik!$A$3:$E$19,3)," ")</f>
        <v>750</v>
      </c>
      <c r="E15" s="21">
        <f>IF(A15&lt;&gt;0,VLOOKUP(A15,cenik!$A$3:$E$19,5),"")</f>
        <v>0.15</v>
      </c>
      <c r="F15" s="20">
        <f t="shared" si="0"/>
        <v>862.5</v>
      </c>
      <c r="G15" s="21">
        <f>IF(A15&lt;&gt;0,VLOOKUP(A15,cenik!$A$3:$E$19,4),"")</f>
        <v>0.15</v>
      </c>
      <c r="H15" s="20">
        <f t="shared" si="1"/>
        <v>991.875</v>
      </c>
      <c r="I15" s="22">
        <f t="shared" si="2"/>
        <v>22813.125</v>
      </c>
      <c r="L15" s="1" t="s">
        <v>12</v>
      </c>
    </row>
    <row r="16" spans="1:14" x14ac:dyDescent="0.2">
      <c r="A16" s="14" t="s">
        <v>21</v>
      </c>
      <c r="B16" s="19">
        <v>15</v>
      </c>
      <c r="C16" s="19" t="str">
        <f>IF(A16&lt;&gt;0,VLOOKUP(A16,cenik!$A$3:$E$19,2)," ")</f>
        <v>10 x 1 l krabice</v>
      </c>
      <c r="D16" s="20">
        <f>IF(A16&lt;&gt;0,VLOOKUP(A16,cenik!$A$3:$E$19,3)," ")</f>
        <v>110</v>
      </c>
      <c r="E16" s="21">
        <f>IF(A16&lt;&gt;0,VLOOKUP(A16,cenik!$A$3:$E$19,5),"")</f>
        <v>0.2</v>
      </c>
      <c r="F16" s="20">
        <f t="shared" si="0"/>
        <v>132</v>
      </c>
      <c r="G16" s="21">
        <f>IF(A16&lt;&gt;0,VLOOKUP(A16,cenik!$A$3:$E$19,4),"")</f>
        <v>0.15</v>
      </c>
      <c r="H16" s="20">
        <f t="shared" si="1"/>
        <v>151.80000000000001</v>
      </c>
      <c r="I16" s="22">
        <f t="shared" si="2"/>
        <v>2277</v>
      </c>
      <c r="L16" s="1" t="s">
        <v>64</v>
      </c>
    </row>
    <row r="17" spans="1:12" x14ac:dyDescent="0.2">
      <c r="A17" s="14" t="s">
        <v>25</v>
      </c>
      <c r="B17" s="19">
        <v>16</v>
      </c>
      <c r="C17" s="19" t="str">
        <f>IF(A17&lt;&gt;0,VLOOKUP(A17,cenik!$A$3:$E$19,2)," ")</f>
        <v xml:space="preserve">250 g </v>
      </c>
      <c r="D17" s="20">
        <f>IF(A17&lt;&gt;0,VLOOKUP(A17,cenik!$A$3:$E$19,3)," ")</f>
        <v>12.9</v>
      </c>
      <c r="E17" s="21">
        <f>IF(A17&lt;&gt;0,VLOOKUP(A17,cenik!$A$3:$E$19,5),"")</f>
        <v>0.11</v>
      </c>
      <c r="F17" s="20">
        <f t="shared" si="0"/>
        <v>14.319000000000001</v>
      </c>
      <c r="G17" s="21">
        <f>IF(A17&lt;&gt;0,VLOOKUP(A17,cenik!$A$3:$E$19,4),"")</f>
        <v>0.15</v>
      </c>
      <c r="H17" s="20">
        <f t="shared" si="1"/>
        <v>16.466850000000001</v>
      </c>
      <c r="I17" s="22">
        <f t="shared" si="2"/>
        <v>263.46960000000001</v>
      </c>
      <c r="L17" s="1" t="s">
        <v>21</v>
      </c>
    </row>
    <row r="18" spans="1:12" x14ac:dyDescent="0.2">
      <c r="A18" s="14" t="s">
        <v>34</v>
      </c>
      <c r="B18" s="19">
        <v>8</v>
      </c>
      <c r="C18" s="19" t="str">
        <f>IF(A18&lt;&gt;0,VLOOKUP(A18,cenik!$A$3:$E$19,2)," ")</f>
        <v>1 ks</v>
      </c>
      <c r="D18" s="20">
        <f>IF(A18&lt;&gt;0,VLOOKUP(A18,cenik!$A$3:$E$19,3)," ")</f>
        <v>300</v>
      </c>
      <c r="E18" s="21">
        <f>IF(A18&lt;&gt;0,VLOOKUP(A18,cenik!$A$3:$E$19,5),"")</f>
        <v>0.1</v>
      </c>
      <c r="F18" s="20">
        <f t="shared" si="0"/>
        <v>330</v>
      </c>
      <c r="G18" s="21">
        <f>IF(A18&lt;&gt;0,VLOOKUP(A18,cenik!$A$3:$E$19,4),"")</f>
        <v>0.21</v>
      </c>
      <c r="H18" s="20">
        <f t="shared" si="1"/>
        <v>399.3</v>
      </c>
      <c r="I18" s="22">
        <f t="shared" si="2"/>
        <v>3194.4</v>
      </c>
      <c r="L18" s="1" t="s">
        <v>25</v>
      </c>
    </row>
    <row r="19" spans="1:12" x14ac:dyDescent="0.2">
      <c r="A19" s="14" t="s">
        <v>24</v>
      </c>
      <c r="B19" s="19">
        <v>10</v>
      </c>
      <c r="C19" s="19" t="str">
        <f>IF(A19&lt;&gt;0,VLOOKUP(A19,cenik!$A$3:$E$19,2)," ")</f>
        <v>1 kg</v>
      </c>
      <c r="D19" s="20">
        <f>IF(A19&lt;&gt;0,VLOOKUP(A19,cenik!$A$3:$E$19,3)," ")</f>
        <v>89</v>
      </c>
      <c r="E19" s="21">
        <f>IF(A19&lt;&gt;0,VLOOKUP(A19,cenik!$A$3:$E$19,5),"")</f>
        <v>0.14000000000000001</v>
      </c>
      <c r="F19" s="20">
        <f t="shared" si="0"/>
        <v>101.46000000000001</v>
      </c>
      <c r="G19" s="21">
        <f>IF(A19&lt;&gt;0,VLOOKUP(A19,cenik!$A$3:$E$19,4),"")</f>
        <v>0.15</v>
      </c>
      <c r="H19" s="20">
        <f t="shared" si="1"/>
        <v>116.679</v>
      </c>
      <c r="I19" s="22">
        <f t="shared" si="2"/>
        <v>1166.79</v>
      </c>
      <c r="L19" s="1" t="s">
        <v>34</v>
      </c>
    </row>
    <row r="20" spans="1:12" x14ac:dyDescent="0.2">
      <c r="A20" s="14" t="s">
        <v>32</v>
      </c>
      <c r="B20" s="19">
        <v>6</v>
      </c>
      <c r="C20" s="19" t="str">
        <f>IF(A20&lt;&gt;0,VLOOKUP(A20,cenik!$A$3:$E$19,2)," ")</f>
        <v>5 ks</v>
      </c>
      <c r="D20" s="20">
        <f>IF(A20&lt;&gt;0,VLOOKUP(A20,cenik!$A$3:$E$19,3)," ")</f>
        <v>250</v>
      </c>
      <c r="E20" s="21">
        <f>IF(A20&lt;&gt;0,VLOOKUP(A20,cenik!$A$3:$E$19,5),"")</f>
        <v>0.11</v>
      </c>
      <c r="F20" s="20">
        <f>IF(A20&lt;&gt;0,D20+D20*E20,"")</f>
        <v>277.5</v>
      </c>
      <c r="G20" s="21">
        <f>IF(A20&lt;&gt;0,VLOOKUP(A20,cenik!$A$3:$E$19,4),"")</f>
        <v>0.21</v>
      </c>
      <c r="H20" s="20">
        <f>IF(A20&lt;&gt;0,F20+F20*G20,"")</f>
        <v>335.77499999999998</v>
      </c>
      <c r="I20" s="22">
        <f>IF(A20&lt;&gt;0,H20*B20,"")</f>
        <v>2014.6499999999999</v>
      </c>
      <c r="L20" s="1" t="s">
        <v>24</v>
      </c>
    </row>
    <row r="21" spans="1:12" ht="13.5" thickBot="1" x14ac:dyDescent="0.25">
      <c r="A21" s="18" t="s">
        <v>42</v>
      </c>
      <c r="B21" s="16" t="s">
        <v>43</v>
      </c>
      <c r="C21" s="16"/>
      <c r="D21" s="17" t="s">
        <v>43</v>
      </c>
      <c r="E21" s="17" t="s">
        <v>43</v>
      </c>
      <c r="F21" s="23">
        <f>SUM(F4:F20)</f>
        <v>4702.8190000000004</v>
      </c>
      <c r="G21" s="16" t="s">
        <v>43</v>
      </c>
      <c r="H21" s="23">
        <f>SUM(H4:H20)</f>
        <v>5476.09105</v>
      </c>
      <c r="I21" s="24">
        <f>SUM(I4:I20)</f>
        <v>105792.30179999997</v>
      </c>
      <c r="L21" s="1" t="s">
        <v>32</v>
      </c>
    </row>
    <row r="22" spans="1:12" x14ac:dyDescent="0.2">
      <c r="A22" s="6"/>
      <c r="D22" s="6"/>
      <c r="E22" s="6"/>
    </row>
    <row r="23" spans="1:12" x14ac:dyDescent="0.2">
      <c r="A23" s="6"/>
      <c r="D23" s="6"/>
      <c r="E23" s="6"/>
    </row>
    <row r="24" spans="1:12" x14ac:dyDescent="0.2">
      <c r="A24" s="6"/>
      <c r="D24" s="6"/>
      <c r="E24" s="6"/>
    </row>
  </sheetData>
  <mergeCells count="1">
    <mergeCell ref="A1:I1"/>
  </mergeCells>
  <phoneticPr fontId="0" type="noConversion"/>
  <dataValidations disablePrompts="1" count="1">
    <dataValidation type="list" allowBlank="1" showInputMessage="1" showErrorMessage="1" errorTitle="Neplatný produkt" error="Zkuste to znovu nebo vypnite PC a jdite domů, protože dnes už toho máte dost." sqref="A4:A20" xr:uid="{50F21521-4F18-4EFB-B079-26EE3E0A28C9}">
      <formula1>$L$5:$L$21</formula1>
    </dataValidation>
  </dataValidations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workbookViewId="0">
      <selection activeCell="C17" sqref="C17"/>
    </sheetView>
  </sheetViews>
  <sheetFormatPr defaultRowHeight="12.75" x14ac:dyDescent="0.2"/>
  <cols>
    <col min="1" max="1" width="17.7109375" bestFit="1" customWidth="1"/>
    <col min="2" max="2" width="19.140625" bestFit="1" customWidth="1"/>
    <col min="3" max="3" width="18.7109375" bestFit="1" customWidth="1"/>
    <col min="4" max="4" width="6.140625" bestFit="1" customWidth="1"/>
    <col min="5" max="5" width="7.42578125" bestFit="1" customWidth="1"/>
  </cols>
  <sheetData>
    <row r="1" spans="1:5" ht="14.25" x14ac:dyDescent="0.2">
      <c r="A1" s="15" t="s">
        <v>0</v>
      </c>
      <c r="B1" s="15" t="s">
        <v>1</v>
      </c>
      <c r="C1" s="15" t="s">
        <v>2</v>
      </c>
      <c r="D1" s="15" t="s">
        <v>29</v>
      </c>
      <c r="E1" s="15" t="s">
        <v>3</v>
      </c>
    </row>
    <row r="2" spans="1:5" x14ac:dyDescent="0.2">
      <c r="A2" s="7" t="s">
        <v>43</v>
      </c>
      <c r="B2" s="7"/>
      <c r="C2" s="7"/>
      <c r="D2" s="7"/>
      <c r="E2" s="7"/>
    </row>
    <row r="3" spans="1:5" x14ac:dyDescent="0.2">
      <c r="A3" s="1" t="s">
        <v>30</v>
      </c>
      <c r="B3" s="1" t="s">
        <v>31</v>
      </c>
      <c r="C3" s="2">
        <v>111</v>
      </c>
      <c r="D3" s="4">
        <v>0.21</v>
      </c>
      <c r="E3" s="3">
        <v>0.12</v>
      </c>
    </row>
    <row r="4" spans="1:5" x14ac:dyDescent="0.2">
      <c r="A4" s="1" t="s">
        <v>4</v>
      </c>
      <c r="B4" s="1" t="s">
        <v>5</v>
      </c>
      <c r="C4" s="2">
        <v>18</v>
      </c>
      <c r="D4" s="4">
        <v>0.15</v>
      </c>
      <c r="E4" s="3">
        <v>0.12</v>
      </c>
    </row>
    <row r="5" spans="1:5" x14ac:dyDescent="0.2">
      <c r="A5" s="1" t="s">
        <v>27</v>
      </c>
      <c r="B5" s="1" t="s">
        <v>28</v>
      </c>
      <c r="C5" s="2">
        <v>350</v>
      </c>
      <c r="D5" s="4">
        <v>0.21</v>
      </c>
      <c r="E5" s="3">
        <v>0.14000000000000001</v>
      </c>
    </row>
    <row r="6" spans="1:5" x14ac:dyDescent="0.2">
      <c r="A6" s="1" t="s">
        <v>6</v>
      </c>
      <c r="B6" s="1" t="s">
        <v>7</v>
      </c>
      <c r="C6" s="2">
        <v>26</v>
      </c>
      <c r="D6" s="4">
        <v>0.15</v>
      </c>
      <c r="E6" s="3">
        <v>0.12</v>
      </c>
    </row>
    <row r="7" spans="1:5" x14ac:dyDescent="0.2">
      <c r="A7" s="1" t="s">
        <v>8</v>
      </c>
      <c r="B7" s="1" t="s">
        <v>9</v>
      </c>
      <c r="C7" s="2">
        <v>680</v>
      </c>
      <c r="D7" s="4">
        <v>0.15</v>
      </c>
      <c r="E7" s="3">
        <v>0.2</v>
      </c>
    </row>
    <row r="8" spans="1:5" x14ac:dyDescent="0.2">
      <c r="A8" s="1" t="s">
        <v>19</v>
      </c>
      <c r="B8" s="1" t="s">
        <v>18</v>
      </c>
      <c r="C8" s="2">
        <v>28</v>
      </c>
      <c r="D8" s="4">
        <v>0.15</v>
      </c>
      <c r="E8" s="3">
        <v>0.1</v>
      </c>
    </row>
    <row r="9" spans="1:5" x14ac:dyDescent="0.2">
      <c r="A9" s="1" t="s">
        <v>14</v>
      </c>
      <c r="B9" s="1" t="s">
        <v>15</v>
      </c>
      <c r="C9" s="2">
        <v>450</v>
      </c>
      <c r="D9" s="4">
        <v>0.15</v>
      </c>
      <c r="E9" s="3">
        <v>0.1</v>
      </c>
    </row>
    <row r="10" spans="1:5" x14ac:dyDescent="0.2">
      <c r="A10" s="1" t="s">
        <v>16</v>
      </c>
      <c r="B10" s="1" t="s">
        <v>17</v>
      </c>
      <c r="C10" s="2">
        <v>78</v>
      </c>
      <c r="D10" s="4">
        <v>0.15</v>
      </c>
      <c r="E10" s="3">
        <v>0.15</v>
      </c>
    </row>
    <row r="11" spans="1:5" x14ac:dyDescent="0.2">
      <c r="A11" s="1" t="s">
        <v>22</v>
      </c>
      <c r="B11" s="1" t="s">
        <v>23</v>
      </c>
      <c r="C11" s="2">
        <v>9.5</v>
      </c>
      <c r="D11" s="4">
        <v>0.15</v>
      </c>
      <c r="E11" s="3">
        <v>0.12</v>
      </c>
    </row>
    <row r="12" spans="1:5" x14ac:dyDescent="0.2">
      <c r="A12" s="1" t="s">
        <v>10</v>
      </c>
      <c r="B12" s="1" t="s">
        <v>11</v>
      </c>
      <c r="C12" s="2">
        <v>750</v>
      </c>
      <c r="D12" s="4">
        <v>0.15</v>
      </c>
      <c r="E12" s="3">
        <v>0.15</v>
      </c>
    </row>
    <row r="13" spans="1:5" x14ac:dyDescent="0.2">
      <c r="A13" s="1" t="s">
        <v>12</v>
      </c>
      <c r="B13" s="1" t="s">
        <v>13</v>
      </c>
      <c r="C13" s="2">
        <v>98</v>
      </c>
      <c r="D13" s="4">
        <v>0.15</v>
      </c>
      <c r="E13" s="3">
        <v>0.1</v>
      </c>
    </row>
    <row r="14" spans="1:5" x14ac:dyDescent="0.2">
      <c r="A14" s="1" t="s">
        <v>64</v>
      </c>
      <c r="B14" s="1" t="s">
        <v>13</v>
      </c>
      <c r="C14" s="2">
        <v>95</v>
      </c>
      <c r="D14" s="4">
        <v>0.15</v>
      </c>
      <c r="E14" s="3">
        <v>0.18</v>
      </c>
    </row>
    <row r="15" spans="1:5" x14ac:dyDescent="0.2">
      <c r="A15" s="1" t="s">
        <v>21</v>
      </c>
      <c r="B15" s="1" t="s">
        <v>20</v>
      </c>
      <c r="C15" s="2">
        <v>110</v>
      </c>
      <c r="D15" s="4">
        <v>0.15</v>
      </c>
      <c r="E15" s="3">
        <v>0.2</v>
      </c>
    </row>
    <row r="16" spans="1:5" x14ac:dyDescent="0.2">
      <c r="A16" s="1" t="s">
        <v>25</v>
      </c>
      <c r="B16" s="1" t="s">
        <v>26</v>
      </c>
      <c r="C16" s="2">
        <v>12.9</v>
      </c>
      <c r="D16" s="4">
        <v>0.15</v>
      </c>
      <c r="E16" s="3">
        <v>0.11</v>
      </c>
    </row>
    <row r="17" spans="1:5" x14ac:dyDescent="0.2">
      <c r="A17" s="1" t="s">
        <v>34</v>
      </c>
      <c r="B17" s="1" t="s">
        <v>35</v>
      </c>
      <c r="C17" s="2">
        <v>300</v>
      </c>
      <c r="D17" s="4">
        <v>0.21</v>
      </c>
      <c r="E17" s="3">
        <v>0.1</v>
      </c>
    </row>
    <row r="18" spans="1:5" x14ac:dyDescent="0.2">
      <c r="A18" s="1" t="s">
        <v>24</v>
      </c>
      <c r="B18" s="1" t="s">
        <v>23</v>
      </c>
      <c r="C18" s="2">
        <v>89</v>
      </c>
      <c r="D18" s="4">
        <v>0.15</v>
      </c>
      <c r="E18" s="3">
        <v>0.14000000000000001</v>
      </c>
    </row>
    <row r="19" spans="1:5" x14ac:dyDescent="0.2">
      <c r="A19" s="1" t="s">
        <v>32</v>
      </c>
      <c r="B19" s="1" t="s">
        <v>33</v>
      </c>
      <c r="C19" s="2">
        <v>250</v>
      </c>
      <c r="D19" s="4">
        <v>0.21</v>
      </c>
      <c r="E19" s="3">
        <v>0.11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triko</vt:lpstr>
      <vt:lpstr>ceniktriko</vt:lpstr>
      <vt:lpstr>smisenezbozi</vt:lpstr>
      <vt:lpstr>cenik</vt:lpstr>
    </vt:vector>
  </TitlesOfParts>
  <Company>Obchodní akademie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ing.Matúš</dc:creator>
  <cp:lastModifiedBy>Roman Krulický</cp:lastModifiedBy>
  <cp:lastPrinted>2004-07-20T14:20:52Z</cp:lastPrinted>
  <dcterms:created xsi:type="dcterms:W3CDTF">2004-07-20T10:05:33Z</dcterms:created>
  <dcterms:modified xsi:type="dcterms:W3CDTF">2024-11-06T09:46:16Z</dcterms:modified>
</cp:coreProperties>
</file>